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9696" windowHeight="6036" tabRatio="613" activeTab="0"/>
  </bookViews>
  <sheets>
    <sheet name="Principal" sheetId="1" r:id="rId1"/>
    <sheet name="Inputs" sheetId="2" r:id="rId2"/>
    <sheet name="Simulation" sheetId="3" r:id="rId3"/>
  </sheets>
  <definedNames>
    <definedName name="aliquota">'Principal'!$B$8</definedName>
    <definedName name="alpha">#REF!</definedName>
    <definedName name="delta_t">'Inputs'!$B$7</definedName>
    <definedName name="Efi2">'Inputs'!$B$21</definedName>
    <definedName name="eta">'Inputs'!$B$11</definedName>
    <definedName name="eta_carvao">'Inputs'!$F$11</definedName>
    <definedName name="Investimento">'Principal'!$B$12</definedName>
    <definedName name="lambda_d">'Inputs'!$B$18</definedName>
    <definedName name="lambda_u">'Inputs'!$B$17</definedName>
    <definedName name="mu">#REF!</definedName>
    <definedName name="outros_CO">'Principal'!$B$7</definedName>
    <definedName name="P_0">'Principal'!$B$5</definedName>
    <definedName name="P_bar_carvao">'Inputs'!$F$10</definedName>
    <definedName name="P0_carvao">'Inputs'!$F$6</definedName>
    <definedName name="P0_oleo">'Inputs'!$B$6</definedName>
    <definedName name="r_">'Inputs'!$B$15</definedName>
    <definedName name="raiz">'Simulation'!#REF!</definedName>
    <definedName name="receita">'Principal'!$B$6</definedName>
    <definedName name="rend_carvao">'Principal'!#REF!</definedName>
    <definedName name="rend_oleo">'Principal'!$B$9</definedName>
    <definedName name="ro">'Inputs'!$B$12</definedName>
    <definedName name="S">#REF!</definedName>
    <definedName name="sigma">'Inputs'!$B$9</definedName>
    <definedName name="size_d">'Inputs'!$B$20</definedName>
    <definedName name="size_up">'Inputs'!$B$19</definedName>
    <definedName name="t">#REF!</definedName>
    <definedName name="volat_carvao">'Inputs'!$F$9</definedName>
    <definedName name="x_barra">'Inputs'!$C$10</definedName>
    <definedName name="x_barra_carvao">'Inputs'!$G$10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A satisfied Microsoft Office user</author>
    <author>Marco</author>
  </authors>
  <commentList>
    <comment ref="C10" authorId="0">
      <text>
        <r>
          <rPr>
            <sz val="8"/>
            <rFont val="Tahoma"/>
            <family val="0"/>
          </rPr>
          <t>ln(p_bar)</t>
        </r>
      </text>
    </comment>
    <comment ref="G10" authorId="0">
      <text>
        <r>
          <rPr>
            <sz val="8"/>
            <rFont val="Tahoma"/>
            <family val="0"/>
          </rPr>
          <t>ln(p_bar)</t>
        </r>
      </text>
    </comment>
    <comment ref="B21" authorId="1">
      <text>
        <r>
          <rPr>
            <b/>
            <sz val="8"/>
            <rFont val="Tahoma"/>
            <family val="0"/>
          </rPr>
          <t xml:space="preserve">Marco: </t>
        </r>
        <r>
          <rPr>
            <sz val="8"/>
            <rFont val="Tahoma"/>
            <family val="0"/>
          </rPr>
          <t>Obtained by numerical integration. It depends only of paramenters  mean and standard deviation from the jump-size distributions</t>
        </r>
      </text>
    </comment>
  </commentList>
</comments>
</file>

<file path=xl/comments3.xml><?xml version="1.0" encoding="utf-8"?>
<comments xmlns="http://schemas.openxmlformats.org/spreadsheetml/2006/main">
  <authors>
    <author>Marco Antonio Guimar?es Dias</author>
    <author>Marco</author>
  </authors>
  <commentList>
    <comment ref="GV4" authorId="0">
      <text>
        <r>
          <rPr>
            <b/>
            <sz val="7"/>
            <rFont val="Tahoma"/>
            <family val="0"/>
          </rPr>
          <t>Marco Antonio Guimarães Dias:</t>
        </r>
        <r>
          <rPr>
            <sz val="7"/>
            <rFont val="Tahoma"/>
            <family val="0"/>
          </rPr>
          <t xml:space="preserve">
The idea is to show that  AR(1) discrete format is  independent of delta_t</t>
        </r>
      </text>
    </comment>
    <comment ref="B6" authorId="1">
      <text>
        <r>
          <rPr>
            <b/>
            <sz val="8"/>
            <rFont val="Tahoma"/>
            <family val="0"/>
          </rPr>
          <t>Marco:</t>
        </r>
        <r>
          <rPr>
            <sz val="8"/>
            <rFont val="Tahoma"/>
            <family val="0"/>
          </rPr>
          <t xml:space="preserve">
RN = risk-neutral</t>
        </r>
      </text>
    </comment>
    <comment ref="B15" authorId="1">
      <text>
        <r>
          <rPr>
            <b/>
            <sz val="8"/>
            <rFont val="Tahoma"/>
            <family val="0"/>
          </rPr>
          <t>Marco:</t>
        </r>
        <r>
          <rPr>
            <sz val="8"/>
            <rFont val="Tahoma"/>
            <family val="0"/>
          </rPr>
          <t xml:space="preserve">
RN = risk-neutral</t>
        </r>
      </text>
    </comment>
  </commentList>
</comments>
</file>

<file path=xl/sharedStrings.xml><?xml version="1.0" encoding="utf-8"?>
<sst xmlns="http://schemas.openxmlformats.org/spreadsheetml/2006/main" count="80" uniqueCount="57">
  <si>
    <t>P(t = 0) =</t>
  </si>
  <si>
    <t>t =</t>
  </si>
  <si>
    <r>
      <t>D</t>
    </r>
    <r>
      <rPr>
        <b/>
        <sz val="10"/>
        <rFont val="Arial"/>
        <family val="0"/>
      </rPr>
      <t>t =</t>
    </r>
  </si>
  <si>
    <t>Time Horizon (years) =</t>
  </si>
  <si>
    <r>
      <t xml:space="preserve">Volatility </t>
    </r>
    <r>
      <rPr>
        <b/>
        <sz val="10"/>
        <rFont val="Symbol"/>
        <family val="1"/>
      </rPr>
      <t>s</t>
    </r>
    <r>
      <rPr>
        <b/>
        <sz val="10"/>
        <rFont val="Arial"/>
        <family val="0"/>
      </rPr>
      <t xml:space="preserve"> (%aa)</t>
    </r>
  </si>
  <si>
    <r>
      <t xml:space="preserve">Reversion Speed </t>
    </r>
    <r>
      <rPr>
        <b/>
        <sz val="9"/>
        <rFont val="Symbol"/>
        <family val="1"/>
      </rPr>
      <t>h</t>
    </r>
    <r>
      <rPr>
        <b/>
        <sz val="9"/>
        <rFont val="Arial"/>
        <family val="0"/>
      </rPr>
      <t xml:space="preserve"> (per annum)</t>
    </r>
  </si>
  <si>
    <r>
      <t xml:space="preserve">Rev. Speed x delta_t: </t>
    </r>
    <r>
      <rPr>
        <b/>
        <sz val="10"/>
        <rFont val="Symbol"/>
        <family val="1"/>
      </rPr>
      <t>h</t>
    </r>
    <r>
      <rPr>
        <b/>
        <sz val="10"/>
        <rFont val="Arial"/>
        <family val="0"/>
      </rPr>
      <t xml:space="preserve"> x </t>
    </r>
    <r>
      <rPr>
        <b/>
        <sz val="10"/>
        <rFont val="Symbol"/>
        <family val="1"/>
      </rPr>
      <t>D</t>
    </r>
    <r>
      <rPr>
        <b/>
        <sz val="10"/>
        <rFont val="Arial"/>
        <family val="0"/>
      </rPr>
      <t>t =</t>
    </r>
  </si>
  <si>
    <r>
      <t>Volatility.</t>
    </r>
    <r>
      <rPr>
        <b/>
        <sz val="9"/>
        <rFont val="Symbol"/>
        <family val="1"/>
      </rPr>
      <t>D</t>
    </r>
    <r>
      <rPr>
        <b/>
        <sz val="9"/>
        <rFont val="Times New Roman"/>
        <family val="1"/>
      </rPr>
      <t xml:space="preserve">t: </t>
    </r>
    <r>
      <rPr>
        <b/>
        <sz val="9"/>
        <rFont val="Symbol"/>
        <family val="1"/>
      </rPr>
      <t>s</t>
    </r>
    <r>
      <rPr>
        <b/>
        <sz val="9"/>
        <rFont val="Arial"/>
        <family val="0"/>
      </rPr>
      <t xml:space="preserve"> x (sqrt(delta_t))</t>
    </r>
  </si>
  <si>
    <t xml:space="preserve">interest rate r = </t>
  </si>
  <si>
    <r>
      <t xml:space="preserve">Risk-Adjusted discount rate </t>
    </r>
    <r>
      <rPr>
        <b/>
        <sz val="10"/>
        <rFont val="Symbol"/>
        <family val="1"/>
      </rPr>
      <t xml:space="preserve">r = </t>
    </r>
  </si>
  <si>
    <t>-</t>
  </si>
  <si>
    <t>N(0,1)</t>
  </si>
  <si>
    <t xml:space="preserve">H (half-life of x(t), years) = </t>
  </si>
  <si>
    <t>Jump-up?</t>
  </si>
  <si>
    <t>Jump-down?</t>
  </si>
  <si>
    <t xml:space="preserve">Jump-Size </t>
  </si>
  <si>
    <r>
      <t>E[</t>
    </r>
    <r>
      <rPr>
        <b/>
        <sz val="10"/>
        <rFont val="Symbol"/>
        <family val="1"/>
      </rPr>
      <t>f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 xml:space="preserve">] = </t>
    </r>
  </si>
  <si>
    <r>
      <t>frequency (</t>
    </r>
    <r>
      <rPr>
        <b/>
        <sz val="10"/>
        <rFont val="Symbol"/>
        <family val="1"/>
      </rPr>
      <t>l</t>
    </r>
    <r>
      <rPr>
        <b/>
        <sz val="10"/>
        <rFont val="Times New Roman"/>
        <family val="1"/>
      </rPr>
      <t>u</t>
    </r>
    <r>
      <rPr>
        <b/>
        <sz val="10"/>
        <rFont val="Arial"/>
        <family val="0"/>
      </rPr>
      <t xml:space="preserve">) jump up = </t>
    </r>
  </si>
  <si>
    <r>
      <t>frequency (</t>
    </r>
    <r>
      <rPr>
        <b/>
        <sz val="10"/>
        <rFont val="Symbol"/>
        <family val="1"/>
      </rPr>
      <t>l</t>
    </r>
    <r>
      <rPr>
        <b/>
        <sz val="10"/>
        <rFont val="Times New Roman"/>
        <family val="1"/>
      </rPr>
      <t>d</t>
    </r>
    <r>
      <rPr>
        <b/>
        <sz val="10"/>
        <rFont val="Arial"/>
        <family val="0"/>
      </rPr>
      <t xml:space="preserve">) jump down = </t>
    </r>
  </si>
  <si>
    <t xml:space="preserve">Size of jump-up = </t>
  </si>
  <si>
    <t xml:space="preserve">Size of jump-down = </t>
  </si>
  <si>
    <t>Simulation of Mean-Reversion with Jumps - Marlim Model</t>
  </si>
  <si>
    <t>Yellow cells = input</t>
  </si>
  <si>
    <t xml:space="preserve">Risk Neutral Sim. P(t) = </t>
  </si>
  <si>
    <t>RN Sim. x(t)  =</t>
  </si>
  <si>
    <t>pa</t>
  </si>
  <si>
    <t xml:space="preserve">Data Sheet </t>
  </si>
  <si>
    <t>years</t>
  </si>
  <si>
    <t>Horizonte de 10 anos.</t>
  </si>
  <si>
    <t>Input 1: Óleo combustível</t>
  </si>
  <si>
    <t xml:space="preserve">Alíquota de IR + CSLL = </t>
  </si>
  <si>
    <t>Anos</t>
  </si>
  <si>
    <t>$/ton</t>
  </si>
  <si>
    <t>Modelo de Marlim (inclui jumps)</t>
  </si>
  <si>
    <t>Marlim sem Jumps</t>
  </si>
  <si>
    <t>Processo para o óleo combustível</t>
  </si>
  <si>
    <t>Processo para o Carvão</t>
  </si>
  <si>
    <t>anos</t>
  </si>
  <si>
    <t xml:space="preserve">Investimento </t>
  </si>
  <si>
    <t>mil toneladas p/ fazer a energia necessária para a planta</t>
  </si>
  <si>
    <t xml:space="preserve">Outros CO (anual) = </t>
  </si>
  <si>
    <t>VPL usando só óleo combustível</t>
  </si>
  <si>
    <t>Fator de desconto Neutro ao Risco</t>
  </si>
  <si>
    <t>milhares de $</t>
  </si>
  <si>
    <t xml:space="preserve">Consumo do óleo combustível = </t>
  </si>
  <si>
    <t>por ano</t>
  </si>
  <si>
    <t>OBS: Não se iluda com os valores estáticos da planilha (dinamicamente são diferentes, lembar da convexidade)</t>
  </si>
  <si>
    <t xml:space="preserve">Preço de Equilíbrio de LP = </t>
  </si>
  <si>
    <t>Exemplo da Planta Industrial</t>
  </si>
  <si>
    <t>A receita Anual é constante. Dois inputs estocásticos: Preço e Custo de Combustível.</t>
  </si>
  <si>
    <t xml:space="preserve">Lucro(t) = [(Preço(t) * Quantidade) - Custo Energia(t) - Outros Custos Operacionais(t)] (1 - alíquota de impostos) </t>
  </si>
  <si>
    <t xml:space="preserve">Quantidade anual = </t>
  </si>
  <si>
    <t xml:space="preserve">milhares </t>
  </si>
  <si>
    <t>$/unidade</t>
  </si>
  <si>
    <t xml:space="preserve">Preço (t = 0) = </t>
  </si>
  <si>
    <t xml:space="preserve">Lucro </t>
  </si>
  <si>
    <t>Input 2: Preço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</si>
</sst>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.0000"/>
    <numFmt numFmtId="177" formatCode="0.00000"/>
    <numFmt numFmtId="178" formatCode="0.0"/>
    <numFmt numFmtId="179" formatCode="0.000"/>
    <numFmt numFmtId="180" formatCode="0.00000000000000"/>
    <numFmt numFmtId="181" formatCode="0.000000000"/>
    <numFmt numFmtId="182" formatCode="0.00000000"/>
    <numFmt numFmtId="183" formatCode="0.0000000"/>
    <numFmt numFmtId="184" formatCode="0.000000"/>
    <numFmt numFmtId="185" formatCode="0.0%"/>
    <numFmt numFmtId="186" formatCode="0.000%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</numFmts>
  <fonts count="20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48"/>
      <name val="Arial"/>
      <family val="2"/>
    </font>
    <font>
      <sz val="8"/>
      <name val="Tahoma"/>
      <family val="0"/>
    </font>
    <font>
      <b/>
      <sz val="10"/>
      <name val="Times New Roman"/>
      <family val="1"/>
    </font>
    <font>
      <b/>
      <sz val="9"/>
      <name val="Arial"/>
      <family val="2"/>
    </font>
    <font>
      <b/>
      <sz val="8"/>
      <color indexed="10"/>
      <name val="Arial"/>
      <family val="2"/>
    </font>
    <font>
      <sz val="7"/>
      <name val="Tahoma"/>
      <family val="0"/>
    </font>
    <font>
      <b/>
      <sz val="7"/>
      <name val="Tahoma"/>
      <family val="0"/>
    </font>
    <font>
      <b/>
      <sz val="9"/>
      <name val="Symbol"/>
      <family val="1"/>
    </font>
    <font>
      <b/>
      <sz val="9"/>
      <name val="Times New Roman"/>
      <family val="1"/>
    </font>
    <font>
      <b/>
      <vertAlign val="superscript"/>
      <sz val="10"/>
      <name val="Arial"/>
      <family val="2"/>
    </font>
    <font>
      <b/>
      <sz val="8"/>
      <name val="Tahoma"/>
      <family val="0"/>
    </font>
    <font>
      <sz val="12"/>
      <color indexed="12"/>
      <name val="Arial"/>
      <family val="2"/>
    </font>
    <font>
      <b/>
      <u val="single"/>
      <sz val="12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177" fontId="0" fillId="0" borderId="0" xfId="0" applyNumberForma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10" fontId="5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86" fontId="0" fillId="0" borderId="0" xfId="17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right"/>
    </xf>
    <xf numFmtId="177" fontId="0" fillId="0" borderId="0" xfId="0" applyNumberFormat="1" applyFill="1" applyBorder="1" applyAlignment="1" applyProtection="1">
      <alignment horizontal="center"/>
      <protection locked="0"/>
    </xf>
    <xf numFmtId="10" fontId="1" fillId="2" borderId="1" xfId="17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2" fontId="0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0" fontId="10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177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10" fontId="9" fillId="0" borderId="0" xfId="0" applyNumberFormat="1" applyFont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177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left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76" fontId="1" fillId="0" borderId="1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9" fontId="1" fillId="2" borderId="1" xfId="17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7" fontId="0" fillId="0" borderId="0" xfId="0" applyNumberFormat="1" applyAlignment="1">
      <alignment/>
    </xf>
    <xf numFmtId="178" fontId="1" fillId="3" borderId="1" xfId="0" applyNumberFormat="1" applyFont="1" applyFill="1" applyBorder="1" applyAlignment="1">
      <alignment horizontal="center"/>
    </xf>
    <xf numFmtId="43" fontId="0" fillId="0" borderId="0" xfId="18" applyFont="1" applyAlignment="1">
      <alignment horizontal="right"/>
    </xf>
    <xf numFmtId="0" fontId="0" fillId="0" borderId="0" xfId="0" applyFont="1" applyAlignment="1">
      <alignment horizontal="center"/>
    </xf>
    <xf numFmtId="12" fontId="0" fillId="0" borderId="0" xfId="18" applyNumberFormat="1" applyFont="1" applyAlignment="1">
      <alignment horizontal="center"/>
    </xf>
    <xf numFmtId="177" fontId="1" fillId="4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B9" sqref="B9"/>
    </sheetView>
  </sheetViews>
  <sheetFormatPr defaultColWidth="9.140625" defaultRowHeight="12.75"/>
  <cols>
    <col min="1" max="1" width="38.00390625" style="0" customWidth="1"/>
    <col min="2" max="2" width="13.7109375" style="0" customWidth="1"/>
  </cols>
  <sheetData>
    <row r="1" ht="15">
      <c r="A1" s="41" t="s">
        <v>48</v>
      </c>
    </row>
    <row r="2" ht="12.75">
      <c r="A2" t="s">
        <v>49</v>
      </c>
    </row>
    <row r="3" ht="12.75">
      <c r="A3" t="s">
        <v>28</v>
      </c>
    </row>
    <row r="4" ht="15">
      <c r="A4" s="40" t="s">
        <v>50</v>
      </c>
    </row>
    <row r="5" spans="1:3" ht="12.75">
      <c r="A5" s="3" t="s">
        <v>54</v>
      </c>
      <c r="B5" s="45">
        <v>2</v>
      </c>
      <c r="C5" s="42" t="s">
        <v>53</v>
      </c>
    </row>
    <row r="6" spans="1:3" ht="12.75">
      <c r="A6" s="3" t="s">
        <v>51</v>
      </c>
      <c r="B6" s="45">
        <v>5000</v>
      </c>
      <c r="C6" s="42" t="s">
        <v>52</v>
      </c>
    </row>
    <row r="7" spans="1:3" ht="12.75">
      <c r="A7" s="3" t="s">
        <v>40</v>
      </c>
      <c r="B7" s="45">
        <v>1000</v>
      </c>
      <c r="C7" s="42" t="s">
        <v>43</v>
      </c>
    </row>
    <row r="8" spans="1:2" ht="12.75">
      <c r="A8" s="3" t="s">
        <v>30</v>
      </c>
      <c r="B8" s="46">
        <v>0.34</v>
      </c>
    </row>
    <row r="9" spans="1:3" ht="12.75">
      <c r="A9" s="3" t="s">
        <v>44</v>
      </c>
      <c r="B9" s="45">
        <v>30</v>
      </c>
      <c r="C9" s="42" t="s">
        <v>39</v>
      </c>
    </row>
    <row r="11" spans="1:12" ht="12.75">
      <c r="A11" s="47" t="s">
        <v>31</v>
      </c>
      <c r="B11" s="11">
        <v>2006</v>
      </c>
      <c r="C11" s="11">
        <f>B11+1</f>
        <v>2007</v>
      </c>
      <c r="D11" s="11">
        <f aca="true" t="shared" si="0" ref="D11:L11">C11+1</f>
        <v>2008</v>
      </c>
      <c r="E11" s="11">
        <f t="shared" si="0"/>
        <v>2009</v>
      </c>
      <c r="F11" s="11">
        <f t="shared" si="0"/>
        <v>2010</v>
      </c>
      <c r="G11" s="11">
        <f t="shared" si="0"/>
        <v>2011</v>
      </c>
      <c r="H11" s="11">
        <f t="shared" si="0"/>
        <v>2012</v>
      </c>
      <c r="I11" s="11">
        <f t="shared" si="0"/>
        <v>2013</v>
      </c>
      <c r="J11" s="11">
        <f t="shared" si="0"/>
        <v>2014</v>
      </c>
      <c r="K11" s="11">
        <f t="shared" si="0"/>
        <v>2015</v>
      </c>
      <c r="L11" s="11">
        <f t="shared" si="0"/>
        <v>2016</v>
      </c>
    </row>
    <row r="12" spans="1:12" ht="12.75">
      <c r="A12" s="47" t="s">
        <v>38</v>
      </c>
      <c r="B12" s="44">
        <v>10000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2.75">
      <c r="A13" s="47" t="s">
        <v>55</v>
      </c>
      <c r="B13" s="11"/>
      <c r="C13" s="51">
        <f>(receita-(rend_oleo*Simulation!D7)-outros_CO)*(1-aliquota)</f>
        <v>-4004.785366216518</v>
      </c>
      <c r="D13" s="51">
        <f>(receita-(rend_oleo*Simulation!E7)-outros_CO)*(1-aliquota)</f>
        <v>-3164.2404680652535</v>
      </c>
      <c r="E13" s="51">
        <f>(receita-(rend_oleo*Simulation!F7)-outros_CO)*(1-aliquota)</f>
        <v>-2586.9455885796597</v>
      </c>
      <c r="F13" s="51">
        <f>(receita-(rend_oleo*Simulation!G7)-outros_CO)*(1-aliquota)</f>
        <v>-2177.734446886058</v>
      </c>
      <c r="G13" s="51">
        <f>(receita-(rend_oleo*Simulation!H7)-outros_CO)*(1-aliquota)</f>
        <v>-1880.502095159032</v>
      </c>
      <c r="H13" s="51">
        <f>(receita-(rend_oleo*Simulation!I7)-outros_CO)*(1-aliquota)</f>
        <v>-1660.4727949018345</v>
      </c>
      <c r="I13" s="51">
        <f>(receita-(rend_oleo*Simulation!J7)-outros_CO)*(1-aliquota)</f>
        <v>-1495.1654616707672</v>
      </c>
      <c r="J13" s="51">
        <f>(receita-(rend_oleo*Simulation!K7)-outros_CO)*(1-aliquota)</f>
        <v>-1369.522911282496</v>
      </c>
      <c r="K13" s="51">
        <f>(receita-(rend_oleo*Simulation!L7)-outros_CO)*(1-aliquota)</f>
        <v>-1273.154759992662</v>
      </c>
      <c r="L13" s="51">
        <f>(receita-(rend_oleo*Simulation!M7)-outros_CO)*(1-aliquota)</f>
        <v>-1198.708899248483</v>
      </c>
    </row>
    <row r="14" spans="1:13" ht="12.75">
      <c r="A14" s="47" t="s">
        <v>42</v>
      </c>
      <c r="B14" s="4">
        <f>EXP(-r_*Simulation!C4)</f>
        <v>1</v>
      </c>
      <c r="C14" s="4">
        <f>EXP(-r_*Simulation!D4)</f>
        <v>0.9417645335842487</v>
      </c>
      <c r="D14" s="4">
        <f>EXP(-r_*Simulation!E4)</f>
        <v>0.8869204367171575</v>
      </c>
      <c r="E14" s="4">
        <f>EXP(-r_*Simulation!F4)</f>
        <v>0.835270211411272</v>
      </c>
      <c r="F14" s="4">
        <f>EXP(-r_*Simulation!G4)</f>
        <v>0.7866278610665535</v>
      </c>
      <c r="G14" s="4">
        <f>EXP(-r_*Simulation!H4)</f>
        <v>0.7408182206817179</v>
      </c>
      <c r="H14" s="4">
        <f>EXP(-r_*Simulation!I4)</f>
        <v>0.697676326071031</v>
      </c>
      <c r="I14" s="4">
        <f>EXP(-r_*Simulation!J4)</f>
        <v>0.6570468198150567</v>
      </c>
      <c r="J14" s="4">
        <f>EXP(-r_*Simulation!K4)</f>
        <v>0.6187833918061408</v>
      </c>
      <c r="K14" s="4">
        <f>EXP(-r_*Simulation!L4)</f>
        <v>0.5827482523739896</v>
      </c>
      <c r="L14" s="4">
        <f>EXP(-r_*Simulation!M4)</f>
        <v>0.5488116360940264</v>
      </c>
      <c r="M14" s="4"/>
    </row>
    <row r="15" spans="1:5" ht="12.75">
      <c r="A15" s="47" t="s">
        <v>41</v>
      </c>
      <c r="B15" s="49">
        <f>-Investimento+SUMPRODUCT(C$14:L$14,C13:L13)</f>
        <v>-26233.068161625823</v>
      </c>
      <c r="C15" s="42" t="s">
        <v>43</v>
      </c>
      <c r="E15" t="s">
        <v>46</v>
      </c>
    </row>
    <row r="22" ht="12.75">
      <c r="A22" s="48"/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21"/>
  <sheetViews>
    <sheetView workbookViewId="0" topLeftCell="A1">
      <selection activeCell="F10" sqref="F10"/>
    </sheetView>
  </sheetViews>
  <sheetFormatPr defaultColWidth="9.140625" defaultRowHeight="12.75"/>
  <cols>
    <col min="1" max="1" width="29.7109375" style="0" customWidth="1"/>
    <col min="2" max="2" width="12.421875" style="0" customWidth="1"/>
    <col min="3" max="3" width="9.7109375" style="0" customWidth="1"/>
    <col min="4" max="4" width="18.00390625" style="0" customWidth="1"/>
  </cols>
  <sheetData>
    <row r="1" ht="18">
      <c r="A1" s="5" t="s">
        <v>21</v>
      </c>
    </row>
    <row r="2" spans="1:2" ht="12.75">
      <c r="A2" s="9" t="s">
        <v>26</v>
      </c>
      <c r="B2" s="37" t="s">
        <v>22</v>
      </c>
    </row>
    <row r="3" spans="2:6" ht="12.75">
      <c r="B3" s="43" t="s">
        <v>29</v>
      </c>
      <c r="F3" s="43" t="s">
        <v>56</v>
      </c>
    </row>
    <row r="4" spans="1:6" ht="12.75">
      <c r="A4" s="10"/>
      <c r="B4" s="3" t="s">
        <v>33</v>
      </c>
      <c r="F4" s="3" t="s">
        <v>34</v>
      </c>
    </row>
    <row r="5" ht="12.75">
      <c r="B5" s="4"/>
    </row>
    <row r="6" spans="1:6" ht="12.75">
      <c r="A6" s="3" t="s">
        <v>0</v>
      </c>
      <c r="B6" s="24">
        <v>400</v>
      </c>
      <c r="C6" t="s">
        <v>32</v>
      </c>
      <c r="E6" s="3" t="s">
        <v>0</v>
      </c>
      <c r="F6" s="24">
        <v>2</v>
      </c>
    </row>
    <row r="7" spans="1:3" ht="12.75">
      <c r="A7" s="7" t="s">
        <v>2</v>
      </c>
      <c r="B7" s="24">
        <v>1</v>
      </c>
      <c r="C7" t="s">
        <v>27</v>
      </c>
    </row>
    <row r="8" spans="1:3" ht="12.75">
      <c r="A8" s="3" t="s">
        <v>3</v>
      </c>
      <c r="B8" s="24">
        <v>10</v>
      </c>
      <c r="C8" t="s">
        <v>27</v>
      </c>
    </row>
    <row r="9" spans="1:7" ht="12.75">
      <c r="A9" s="16" t="s">
        <v>4</v>
      </c>
      <c r="B9" s="23">
        <v>0.25</v>
      </c>
      <c r="C9" t="s">
        <v>25</v>
      </c>
      <c r="E9" s="16" t="s">
        <v>4</v>
      </c>
      <c r="F9" s="23">
        <v>0.25</v>
      </c>
      <c r="G9" t="s">
        <v>25</v>
      </c>
    </row>
    <row r="10" spans="1:7" ht="12.75">
      <c r="A10" s="2" t="s">
        <v>47</v>
      </c>
      <c r="B10" s="24">
        <v>250</v>
      </c>
      <c r="C10" s="53">
        <f>LN(B10)</f>
        <v>5.521460917862246</v>
      </c>
      <c r="E10" s="2" t="s">
        <v>47</v>
      </c>
      <c r="F10" s="24">
        <v>125</v>
      </c>
      <c r="G10" s="53">
        <f>LN(F10)</f>
        <v>4.8283137373023015</v>
      </c>
    </row>
    <row r="11" spans="1:6" ht="12.75">
      <c r="A11" s="26" t="s">
        <v>5</v>
      </c>
      <c r="B11" s="39">
        <f>(LN(2))/B16</f>
        <v>0.23104906018664842</v>
      </c>
      <c r="C11" s="2"/>
      <c r="E11" s="26" t="s">
        <v>5</v>
      </c>
      <c r="F11" s="39">
        <f>(LN(2))/F16</f>
        <v>0.23104906018664842</v>
      </c>
    </row>
    <row r="12" spans="1:3" ht="12.75">
      <c r="A12" s="16" t="s">
        <v>9</v>
      </c>
      <c r="B12" s="23">
        <v>0.12</v>
      </c>
      <c r="C12" t="s">
        <v>25</v>
      </c>
    </row>
    <row r="13" spans="1:3" ht="12.75">
      <c r="A13" s="2" t="s">
        <v>6</v>
      </c>
      <c r="B13" s="4">
        <f>B11*B7</f>
        <v>0.23104906018664842</v>
      </c>
      <c r="C13" t="s">
        <v>25</v>
      </c>
    </row>
    <row r="14" spans="1:3" ht="12.75">
      <c r="A14" s="27" t="s">
        <v>7</v>
      </c>
      <c r="B14" s="19">
        <f>SQRT((B9^2)*B7)</f>
        <v>0.25</v>
      </c>
      <c r="C14" t="s">
        <v>25</v>
      </c>
    </row>
    <row r="15" spans="1:3" ht="12.75">
      <c r="A15" s="3" t="s">
        <v>8</v>
      </c>
      <c r="B15" s="23">
        <v>0.06</v>
      </c>
      <c r="C15" t="s">
        <v>25</v>
      </c>
    </row>
    <row r="16" spans="1:7" ht="12.75">
      <c r="A16" s="2" t="s">
        <v>12</v>
      </c>
      <c r="B16" s="38">
        <v>3</v>
      </c>
      <c r="C16" s="4" t="s">
        <v>37</v>
      </c>
      <c r="E16" s="2" t="s">
        <v>12</v>
      </c>
      <c r="F16" s="38">
        <v>3</v>
      </c>
      <c r="G16" t="s">
        <v>37</v>
      </c>
    </row>
    <row r="17" spans="1:3" ht="12.75">
      <c r="A17" s="2" t="s">
        <v>17</v>
      </c>
      <c r="B17" s="24">
        <v>0</v>
      </c>
      <c r="C17" s="52" t="s">
        <v>45</v>
      </c>
    </row>
    <row r="18" spans="1:3" ht="12.75">
      <c r="A18" s="2" t="s">
        <v>18</v>
      </c>
      <c r="B18" s="35">
        <f>lambda_u</f>
        <v>0</v>
      </c>
      <c r="C18" s="52" t="s">
        <v>45</v>
      </c>
    </row>
    <row r="19" spans="1:2" ht="12.75">
      <c r="A19" s="2" t="s">
        <v>19</v>
      </c>
      <c r="B19" s="32">
        <f>LN(2)</f>
        <v>0.6931471805599453</v>
      </c>
    </row>
    <row r="20" spans="1:3" ht="12.75">
      <c r="A20" s="2" t="s">
        <v>20</v>
      </c>
      <c r="B20" s="36">
        <f>-size_up</f>
        <v>-0.6931471805599453</v>
      </c>
      <c r="C20" s="9"/>
    </row>
    <row r="21" spans="1:2" ht="14.25">
      <c r="A21" s="2" t="s">
        <v>16</v>
      </c>
      <c r="B21" s="4">
        <f>(0.5*(size_up^2))+(0.5*(size_d^2))</f>
        <v>0.4804530139182014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S24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5" sqref="D5"/>
    </sheetView>
  </sheetViews>
  <sheetFormatPr defaultColWidth="9.140625" defaultRowHeight="12.75"/>
  <cols>
    <col min="1" max="1" width="8.7109375" style="0" customWidth="1"/>
    <col min="2" max="2" width="15.8515625" style="0" customWidth="1"/>
    <col min="5" max="5" width="9.7109375" style="0" customWidth="1"/>
    <col min="204" max="204" width="10.57421875" style="0" hidden="1" customWidth="1"/>
    <col min="205" max="205" width="0" style="0" hidden="1" customWidth="1"/>
  </cols>
  <sheetData>
    <row r="1" spans="1:4" ht="18" customHeight="1">
      <c r="A1" s="5" t="s">
        <v>21</v>
      </c>
      <c r="D1" s="1"/>
    </row>
    <row r="2" spans="2:3" ht="12.75">
      <c r="B2" s="2"/>
      <c r="C2" s="2"/>
    </row>
    <row r="3" spans="2:3" ht="13.5" customHeight="1">
      <c r="B3" s="42" t="s">
        <v>35</v>
      </c>
      <c r="C3" s="15"/>
    </row>
    <row r="4" spans="2:253" ht="12.75">
      <c r="B4" s="3" t="s">
        <v>1</v>
      </c>
      <c r="C4" s="11">
        <v>0</v>
      </c>
      <c r="D4" s="4">
        <f aca="true" t="shared" si="0" ref="D4:M4">C4+delta_t</f>
        <v>1</v>
      </c>
      <c r="E4" s="4">
        <f t="shared" si="0"/>
        <v>2</v>
      </c>
      <c r="F4" s="4">
        <f t="shared" si="0"/>
        <v>3</v>
      </c>
      <c r="G4" s="4">
        <f t="shared" si="0"/>
        <v>4</v>
      </c>
      <c r="H4" s="4">
        <f t="shared" si="0"/>
        <v>5</v>
      </c>
      <c r="I4" s="4">
        <f t="shared" si="0"/>
        <v>6</v>
      </c>
      <c r="J4" s="4">
        <f t="shared" si="0"/>
        <v>7</v>
      </c>
      <c r="K4" s="4">
        <f t="shared" si="0"/>
        <v>8</v>
      </c>
      <c r="L4" s="4">
        <f t="shared" si="0"/>
        <v>9</v>
      </c>
      <c r="M4" s="4">
        <f t="shared" si="0"/>
        <v>10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18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</row>
    <row r="5" spans="2:13" s="4" customFormat="1" ht="12.75">
      <c r="B5" s="28" t="s">
        <v>11</v>
      </c>
      <c r="C5" s="28" t="s">
        <v>10</v>
      </c>
      <c r="D5" s="4">
        <f>_XLL.RISKNORMAL(0,1)</f>
        <v>0</v>
      </c>
      <c r="E5" s="4">
        <f>_XLL.RISKNORMAL(0,1)</f>
        <v>0</v>
      </c>
      <c r="F5" s="4">
        <f>_XLL.RISKNORMAL(0,1)</f>
        <v>0</v>
      </c>
      <c r="G5" s="4">
        <f>_XLL.RISKNORMAL(0,1)</f>
        <v>0</v>
      </c>
      <c r="H5" s="4">
        <f>_XLL.RISKNORMAL(0,1)</f>
        <v>0</v>
      </c>
      <c r="I5" s="4">
        <f>_XLL.RISKNORMAL(0,1)</f>
        <v>0</v>
      </c>
      <c r="J5" s="4">
        <f>_XLL.RISKNORMAL(0,1)</f>
        <v>0</v>
      </c>
      <c r="K5" s="4">
        <f>_XLL.RISKNORMAL(0,1)</f>
        <v>0</v>
      </c>
      <c r="L5" s="4">
        <f>_XLL.RISKNORMAL(0,1)</f>
        <v>0</v>
      </c>
      <c r="M5" s="4">
        <f>_XLL.RISKNORMAL(0,1)</f>
        <v>0</v>
      </c>
    </row>
    <row r="6" spans="2:239" ht="12.75">
      <c r="B6" s="34" t="s">
        <v>24</v>
      </c>
      <c r="C6" s="31">
        <f>LN(P0_oleo)</f>
        <v>5.991464547107982</v>
      </c>
      <c r="D6">
        <f aca="true" t="shared" si="1" ref="D6:M6">(C6*(EXP(-eta*delta_t)))+((x_barra-((ro-r_)/eta))*(1-EXP(-eta*delta_t)))+(sigma*SQRT((1-EXP(-2*eta*delta_t))/(2*eta))*D5)+D10</f>
        <v>5.840930144550889</v>
      </c>
      <c r="E6">
        <f t="shared" si="1"/>
        <v>5.7214509100626225</v>
      </c>
      <c r="F6">
        <f t="shared" si="1"/>
        <v>5.626620178805108</v>
      </c>
      <c r="G6">
        <f t="shared" si="1"/>
        <v>5.5513529775265615</v>
      </c>
      <c r="H6">
        <f t="shared" si="1"/>
        <v>5.491613360282428</v>
      </c>
      <c r="I6">
        <f t="shared" si="1"/>
        <v>5.4441979946536705</v>
      </c>
      <c r="J6">
        <f t="shared" si="1"/>
        <v>5.4065643940143975</v>
      </c>
      <c r="K6">
        <f t="shared" si="1"/>
        <v>5.376694585392331</v>
      </c>
      <c r="L6">
        <f t="shared" si="1"/>
        <v>5.352986902577952</v>
      </c>
      <c r="M6">
        <f t="shared" si="1"/>
        <v>5.334170102258316</v>
      </c>
      <c r="IA6" s="6"/>
      <c r="IB6" s="6"/>
      <c r="IC6" s="6"/>
      <c r="ID6" s="6"/>
      <c r="IE6" s="6"/>
    </row>
    <row r="7" spans="2:239" ht="12.75">
      <c r="B7" s="29" t="s">
        <v>23</v>
      </c>
      <c r="C7" s="11">
        <f>P0_oleo</f>
        <v>400</v>
      </c>
      <c r="D7" s="25">
        <f>EXP(D6-(0.5*((1-EXP(-2*eta*D4))*(((sigma^2)+((lambda_u+lambda_d)*Efi2))/(2*eta)))))</f>
        <v>335.5952205159858</v>
      </c>
      <c r="E7" s="25">
        <f aca="true" t="shared" si="2" ref="E7:M7">EXP(E6-(0.5*((1-EXP(-2*eta*E4))*(((sigma^2)+((lambda_u+lambda_d)*Efi2))/(2*eta)))))</f>
        <v>293.14345798309364</v>
      </c>
      <c r="F7" s="25">
        <f t="shared" si="2"/>
        <v>263.98715093836665</v>
      </c>
      <c r="G7" s="25">
        <f t="shared" si="2"/>
        <v>243.31992155990193</v>
      </c>
      <c r="H7" s="25">
        <f t="shared" si="2"/>
        <v>228.30818662419355</v>
      </c>
      <c r="I7" s="25">
        <f t="shared" si="2"/>
        <v>217.19559570211285</v>
      </c>
      <c r="J7" s="25">
        <f t="shared" si="2"/>
        <v>208.8467404884226</v>
      </c>
      <c r="K7" s="25">
        <f t="shared" si="2"/>
        <v>202.5011571354796</v>
      </c>
      <c r="L7" s="25">
        <f t="shared" si="2"/>
        <v>197.6340787875082</v>
      </c>
      <c r="M7" s="17">
        <f t="shared" si="2"/>
        <v>193.87418683073147</v>
      </c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X7" s="30"/>
      <c r="IA7" s="6"/>
      <c r="IB7" s="6"/>
      <c r="IC7" s="6"/>
      <c r="ID7" s="6"/>
      <c r="IE7" s="6"/>
    </row>
    <row r="8" spans="2:239" ht="12.75">
      <c r="B8" s="28" t="s">
        <v>13</v>
      </c>
      <c r="C8" s="21"/>
      <c r="D8" s="22" t="str">
        <f>IF(_XLL.RISKUNIFORM(0,1)&lt;(lambda_u*delta_t),"yes","no")</f>
        <v>no</v>
      </c>
      <c r="E8" s="22" t="str">
        <f>IF(_XLL.RISKUNIFORM(0,1)&lt;(lambda_u*delta_t),"yes","no")</f>
        <v>no</v>
      </c>
      <c r="F8" s="22" t="str">
        <f>IF(_XLL.RISKUNIFORM(0,1)&lt;(lambda_u*delta_t),"yes","no")</f>
        <v>no</v>
      </c>
      <c r="G8" s="22" t="str">
        <f>IF(_XLL.RISKUNIFORM(0,1)&lt;(lambda_u*delta_t),"yes","no")</f>
        <v>no</v>
      </c>
      <c r="H8" s="22" t="str">
        <f>IF(_XLL.RISKUNIFORM(0,1)&lt;(lambda_u*delta_t),"yes","no")</f>
        <v>no</v>
      </c>
      <c r="I8" s="22" t="str">
        <f>IF(_XLL.RISKUNIFORM(0,1)&lt;(lambda_u*delta_t),"yes","no")</f>
        <v>no</v>
      </c>
      <c r="J8" s="22" t="str">
        <f>IF(_XLL.RISKUNIFORM(0,1)&lt;(lambda_u*delta_t),"yes","no")</f>
        <v>no</v>
      </c>
      <c r="K8" s="22" t="str">
        <f>IF(_XLL.RISKUNIFORM(0,1)&lt;(lambda_u*delta_t),"yes","no")</f>
        <v>no</v>
      </c>
      <c r="L8" s="22" t="str">
        <f>IF(_XLL.RISKUNIFORM(0,1)&lt;(lambda_u*delta_t),"yes","no")</f>
        <v>no</v>
      </c>
      <c r="M8" s="22" t="str">
        <f>IF(_XLL.RISKUNIFORM(0,1)&lt;(lambda_u*delta_t),"yes","no")</f>
        <v>no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IA8" s="6"/>
      <c r="IB8" s="6"/>
      <c r="IC8" s="6"/>
      <c r="ID8" s="6"/>
      <c r="IE8" s="6"/>
    </row>
    <row r="9" spans="2:239" ht="12.75">
      <c r="B9" s="28" t="s">
        <v>14</v>
      </c>
      <c r="C9" s="21"/>
      <c r="D9" s="22" t="str">
        <f>IF(_XLL.RISKUNIFORM(0,1)&lt;(lambda_d*delta_t),"yes","no")</f>
        <v>no</v>
      </c>
      <c r="E9" s="22" t="str">
        <f>IF(_XLL.RISKUNIFORM(0,1)&lt;(lambda_d*delta_t),"yes","no")</f>
        <v>no</v>
      </c>
      <c r="F9" s="22" t="str">
        <f>IF(_XLL.RISKUNIFORM(0,1)&lt;(lambda_d*delta_t),"yes","no")</f>
        <v>no</v>
      </c>
      <c r="G9" s="22" t="str">
        <f>IF(_XLL.RISKUNIFORM(0,1)&lt;(lambda_d*delta_t),"yes","no")</f>
        <v>no</v>
      </c>
      <c r="H9" s="22" t="str">
        <f>IF(_XLL.RISKUNIFORM(0,1)&lt;(lambda_d*delta_t),"yes","no")</f>
        <v>no</v>
      </c>
      <c r="I9" s="22" t="str">
        <f>IF(_XLL.RISKUNIFORM(0,1)&lt;(lambda_d*delta_t),"yes","no")</f>
        <v>no</v>
      </c>
      <c r="J9" s="22" t="str">
        <f>IF(_XLL.RISKUNIFORM(0,1)&lt;(lambda_d*delta_t),"yes","no")</f>
        <v>no</v>
      </c>
      <c r="K9" s="22" t="str">
        <f>IF(_XLL.RISKUNIFORM(0,1)&lt;(lambda_d*delta_t),"yes","no")</f>
        <v>no</v>
      </c>
      <c r="L9" s="22" t="str">
        <f>IF(_XLL.RISKUNIFORM(0,1)&lt;(lambda_d*delta_t),"yes","no")</f>
        <v>no</v>
      </c>
      <c r="M9" s="22" t="str">
        <f>IF(_XLL.RISKUNIFORM(0,1)&lt;(lambda_d*delta_t),"yes","no")</f>
        <v>no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IA9" s="6"/>
      <c r="IB9" s="6"/>
      <c r="IC9" s="6"/>
      <c r="ID9" s="6"/>
      <c r="IE9" s="6"/>
    </row>
    <row r="10" spans="2:239" ht="12.75">
      <c r="B10" s="28" t="s">
        <v>15</v>
      </c>
      <c r="C10" s="20"/>
      <c r="D10" s="33">
        <f aca="true" t="shared" si="3" ref="D10:M10">IF(D8="yes",size_up,0)+IF(D9="yes",size_d,0)</f>
        <v>0</v>
      </c>
      <c r="E10" s="33">
        <f t="shared" si="3"/>
        <v>0</v>
      </c>
      <c r="F10" s="33">
        <f t="shared" si="3"/>
        <v>0</v>
      </c>
      <c r="G10" s="33">
        <f t="shared" si="3"/>
        <v>0</v>
      </c>
      <c r="H10" s="33">
        <f t="shared" si="3"/>
        <v>0</v>
      </c>
      <c r="I10" s="33">
        <f t="shared" si="3"/>
        <v>0</v>
      </c>
      <c r="J10" s="33">
        <f t="shared" si="3"/>
        <v>0</v>
      </c>
      <c r="K10" s="33">
        <f t="shared" si="3"/>
        <v>0</v>
      </c>
      <c r="L10" s="33">
        <f t="shared" si="3"/>
        <v>0</v>
      </c>
      <c r="M10" s="33">
        <f t="shared" si="3"/>
        <v>0</v>
      </c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IA10" s="6"/>
      <c r="IB10" s="6"/>
      <c r="IC10" s="6"/>
      <c r="ID10" s="6"/>
      <c r="IE10" s="6"/>
    </row>
    <row r="11" spans="4:5" ht="12.75">
      <c r="D11" s="13"/>
      <c r="E11" s="14"/>
    </row>
    <row r="12" spans="1:5" ht="12.75">
      <c r="A12" s="12"/>
      <c r="B12" s="42" t="s">
        <v>36</v>
      </c>
      <c r="D12" s="8"/>
      <c r="E12" s="4"/>
    </row>
    <row r="13" spans="1:13" ht="12.75">
      <c r="A13" s="12"/>
      <c r="B13" s="3" t="s">
        <v>1</v>
      </c>
      <c r="C13" s="4">
        <f>C4</f>
        <v>0</v>
      </c>
      <c r="D13" s="4">
        <f aca="true" t="shared" si="4" ref="D13:M13">D4</f>
        <v>1</v>
      </c>
      <c r="E13" s="4">
        <f t="shared" si="4"/>
        <v>2</v>
      </c>
      <c r="F13" s="4">
        <f t="shared" si="4"/>
        <v>3</v>
      </c>
      <c r="G13" s="4">
        <f t="shared" si="4"/>
        <v>4</v>
      </c>
      <c r="H13" s="4">
        <f t="shared" si="4"/>
        <v>5</v>
      </c>
      <c r="I13" s="4">
        <f t="shared" si="4"/>
        <v>6</v>
      </c>
      <c r="J13" s="4">
        <f t="shared" si="4"/>
        <v>7</v>
      </c>
      <c r="K13" s="4">
        <f t="shared" si="4"/>
        <v>8</v>
      </c>
      <c r="L13" s="4">
        <f t="shared" si="4"/>
        <v>9</v>
      </c>
      <c r="M13" s="4">
        <f t="shared" si="4"/>
        <v>10</v>
      </c>
    </row>
    <row r="14" spans="1:13" s="4" customFormat="1" ht="12.75">
      <c r="A14" s="12"/>
      <c r="B14" s="28" t="s">
        <v>11</v>
      </c>
      <c r="C14" s="28" t="s">
        <v>10</v>
      </c>
      <c r="D14" s="4">
        <f>_XLL.RISKNORMAL(0,1)</f>
        <v>0</v>
      </c>
      <c r="E14" s="4">
        <f>_XLL.RISKNORMAL(0,1)</f>
        <v>0</v>
      </c>
      <c r="F14" s="4">
        <f>_XLL.RISKNORMAL(0,1)</f>
        <v>0</v>
      </c>
      <c r="G14" s="4">
        <f>_XLL.RISKNORMAL(0,1)</f>
        <v>0</v>
      </c>
      <c r="H14" s="4">
        <f>_XLL.RISKNORMAL(0,1)</f>
        <v>0</v>
      </c>
      <c r="I14" s="4">
        <f>_XLL.RISKNORMAL(0,1)</f>
        <v>0</v>
      </c>
      <c r="J14" s="4">
        <f>_XLL.RISKNORMAL(0,1)</f>
        <v>0</v>
      </c>
      <c r="K14" s="4">
        <f>_XLL.RISKNORMAL(0,1)</f>
        <v>0</v>
      </c>
      <c r="L14" s="4">
        <f>_XLL.RISKNORMAL(0,1)</f>
        <v>0</v>
      </c>
      <c r="M14" s="4">
        <f>_XLL.RISKNORMAL(0,1)</f>
        <v>0</v>
      </c>
    </row>
    <row r="15" spans="1:13" ht="12.75">
      <c r="A15" s="12"/>
      <c r="B15" s="34" t="s">
        <v>24</v>
      </c>
      <c r="C15" s="51">
        <f>LN(P0_carvao)</f>
        <v>0.6931471805599453</v>
      </c>
      <c r="D15">
        <f aca="true" t="shared" si="5" ref="D15:M15">(C15*(EXP(-eta_carvao*delta_t)))+((x_barra_carvao-((ro-r_)/eta_carvao))*(1-EXP(-eta_carvao*delta_t)))+(volat_carvao*SQRT((1-EXP(-2*eta_carvao*delta_t))/(2*eta_carvao))*D14)</f>
        <v>1.4926569651259012</v>
      </c>
      <c r="E15">
        <f t="shared" si="5"/>
        <v>2.1272283016653346</v>
      </c>
      <c r="F15">
        <f t="shared" si="5"/>
        <v>2.6308879052511163</v>
      </c>
      <c r="G15">
        <f t="shared" si="5"/>
        <v>3.030642797534094</v>
      </c>
      <c r="H15">
        <f t="shared" si="5"/>
        <v>3.347928465803811</v>
      </c>
      <c r="I15">
        <f t="shared" si="5"/>
        <v>3.5997582675967017</v>
      </c>
      <c r="J15">
        <f t="shared" si="5"/>
        <v>3.7996357137381906</v>
      </c>
      <c r="K15">
        <f t="shared" si="5"/>
        <v>3.958278547873049</v>
      </c>
      <c r="L15">
        <f t="shared" si="5"/>
        <v>4.084193448769494</v>
      </c>
      <c r="M15">
        <f t="shared" si="5"/>
        <v>4.184132171840239</v>
      </c>
    </row>
    <row r="16" spans="1:13" ht="12.75">
      <c r="A16" s="12"/>
      <c r="B16" s="29" t="s">
        <v>23</v>
      </c>
      <c r="C16" s="11">
        <f>P0_carvao</f>
        <v>2</v>
      </c>
      <c r="D16" s="25">
        <f>EXP(D15-(0.5*((1-EXP(-2*eta_carvao*D13))*(volat_carvao^2)/(2*eta_carvao))))</f>
        <v>4.338950738056403</v>
      </c>
      <c r="E16" s="25">
        <f aca="true" t="shared" si="6" ref="E16:M16">EXP(E15-(0.5*((1-EXP(-2*eta_carvao*E13))*(volat_carvao^2)/(2*eta_carvao))))</f>
        <v>8.056179997779761</v>
      </c>
      <c r="F16" s="25">
        <f t="shared" si="6"/>
        <v>13.199357546918336</v>
      </c>
      <c r="G16" s="25">
        <f t="shared" si="6"/>
        <v>19.563526643177294</v>
      </c>
      <c r="H16" s="25">
        <f t="shared" si="6"/>
        <v>26.762763974877096</v>
      </c>
      <c r="I16" s="25">
        <f t="shared" si="6"/>
        <v>34.3416390087877</v>
      </c>
      <c r="J16" s="25">
        <f t="shared" si="6"/>
        <v>41.87428869424428</v>
      </c>
      <c r="K16" s="25">
        <f t="shared" si="6"/>
        <v>49.02496034751052</v>
      </c>
      <c r="L16" s="25">
        <f t="shared" si="6"/>
        <v>55.56890488407054</v>
      </c>
      <c r="M16" s="17">
        <f t="shared" si="6"/>
        <v>61.38536776725194</v>
      </c>
    </row>
    <row r="17" spans="2:4" ht="12.75">
      <c r="B17" s="28" t="s">
        <v>13</v>
      </c>
      <c r="D17" s="22" t="str">
        <f ca="1">IF(RAND()&lt;(lambda_u*delta_t),"yes","no")</f>
        <v>no</v>
      </c>
    </row>
    <row r="18" spans="2:4" ht="12.75">
      <c r="B18" s="28" t="s">
        <v>14</v>
      </c>
      <c r="D18" s="22" t="str">
        <f ca="1">IF(RAND()&lt;(lambda_d*delta_t),"yes","no")</f>
        <v>no</v>
      </c>
    </row>
    <row r="19" spans="2:4" ht="12.75">
      <c r="B19" s="28" t="s">
        <v>15</v>
      </c>
      <c r="D19" s="33">
        <f>IF(D17="yes",size_up,0)+IF(D18="yes",size_d,0)</f>
        <v>0</v>
      </c>
    </row>
    <row r="20" spans="1:5" ht="12.75">
      <c r="A20" s="9"/>
      <c r="D20" s="8"/>
      <c r="E20" s="4"/>
    </row>
    <row r="21" spans="1:13" ht="12.75">
      <c r="A21" s="4"/>
      <c r="D21" s="50">
        <f aca="true" t="shared" si="7" ref="D21:M21">D7/D16</f>
        <v>77.34478697177208</v>
      </c>
      <c r="E21" s="50">
        <f t="shared" si="7"/>
        <v>36.387401729341</v>
      </c>
      <c r="F21" s="50">
        <f t="shared" si="7"/>
        <v>19.999999999999996</v>
      </c>
      <c r="G21" s="50">
        <f t="shared" si="7"/>
        <v>12.43742633922084</v>
      </c>
      <c r="H21" s="50">
        <f t="shared" si="7"/>
        <v>8.53081493520297</v>
      </c>
      <c r="I21" s="50">
        <f t="shared" si="7"/>
        <v>6.324555320336765</v>
      </c>
      <c r="J21" s="50">
        <f t="shared" si="7"/>
        <v>4.987469566668223</v>
      </c>
      <c r="K21" s="50">
        <f t="shared" si="7"/>
        <v>4.130572583844273</v>
      </c>
      <c r="L21" s="50">
        <f t="shared" si="7"/>
        <v>3.55655882007785</v>
      </c>
      <c r="M21" s="50">
        <f t="shared" si="7"/>
        <v>3.158312703539101</v>
      </c>
    </row>
    <row r="23" spans="4:241" ht="12.75">
      <c r="D23" s="6">
        <f>D6/C6</f>
        <v>0.9748751909698349</v>
      </c>
      <c r="I23" s="6"/>
      <c r="W23" s="6"/>
      <c r="IG23" s="6"/>
    </row>
    <row r="24" ht="12.75">
      <c r="D24">
        <f>D7/C7</f>
        <v>0.8389880512899645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A.G. Dias</dc:creator>
  <cp:keywords/>
  <dc:description/>
  <cp:lastModifiedBy>Marco Antonio G. Dias</cp:lastModifiedBy>
  <cp:lastPrinted>2005-09-28T17:37:54Z</cp:lastPrinted>
  <dcterms:created xsi:type="dcterms:W3CDTF">1998-07-06T15:22:53Z</dcterms:created>
  <dcterms:modified xsi:type="dcterms:W3CDTF">2006-06-06T00:56:20Z</dcterms:modified>
  <cp:category/>
  <cp:version/>
  <cp:contentType/>
  <cp:contentStatus/>
</cp:coreProperties>
</file>