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32" windowWidth="9696" windowHeight="6756" activeTab="0"/>
  </bookViews>
  <sheets>
    <sheet name="binomial_com_dividendos" sheetId="1" r:id="rId1"/>
  </sheets>
  <definedNames>
    <definedName name="d">'binomial_com_dividendos'!$M$17</definedName>
    <definedName name="dd">'binomial_com_dividendos'!$M$20</definedName>
    <definedName name="div">'binomial_com_dividendos'!$G$20</definedName>
    <definedName name="o">'binomial_com_dividendos'!$G$8</definedName>
    <definedName name="p">'binomial_com_dividendos'!$K$27</definedName>
    <definedName name="per">'binomial_com_dividendos'!$G$11</definedName>
    <definedName name="rf">'binomial_com_dividendos'!$G$23</definedName>
    <definedName name="u">'binomial_com_dividendos'!$M$11</definedName>
    <definedName name="ud">'binomial_com_dividendos'!$M$14</definedName>
    <definedName name="vol">'binomial_com_dividendos'!$M$9</definedName>
  </definedNames>
  <calcPr fullCalcOnLoad="1"/>
</workbook>
</file>

<file path=xl/comments1.xml><?xml version="1.0" encoding="utf-8"?>
<comments xmlns="http://schemas.openxmlformats.org/spreadsheetml/2006/main">
  <authors>
    <author>Marco Antonio G. Dias</author>
  </authors>
  <commentList>
    <comment ref="D10" authorId="0">
      <text>
        <r>
          <rPr>
            <b/>
            <sz val="8"/>
            <rFont val="Tahoma"/>
            <family val="0"/>
          </rPr>
          <t>Marco A. G. Dias:</t>
        </r>
        <r>
          <rPr>
            <sz val="8"/>
            <rFont val="Tahoma"/>
            <family val="0"/>
          </rPr>
          <t xml:space="preserve">
Assuma que cada período é de um ano.</t>
        </r>
      </text>
    </comment>
    <comment ref="I26" authorId="0">
      <text>
        <r>
          <rPr>
            <b/>
            <sz val="8"/>
            <rFont val="Tahoma"/>
            <family val="0"/>
          </rPr>
          <t>Marco A. G. Dias:</t>
        </r>
        <r>
          <rPr>
            <sz val="8"/>
            <rFont val="Tahoma"/>
            <family val="0"/>
          </rPr>
          <t xml:space="preserve">
Com dividendos no caso geral.</t>
        </r>
      </text>
    </comment>
    <comment ref="N34" authorId="0">
      <text>
        <r>
          <rPr>
            <b/>
            <sz val="8"/>
            <rFont val="Tahoma"/>
            <family val="0"/>
          </rPr>
          <t>Marco A. G. Dias:</t>
        </r>
        <r>
          <rPr>
            <sz val="8"/>
            <rFont val="Tahoma"/>
            <family val="0"/>
          </rPr>
          <t xml:space="preserve">
Máximo entre o exercício e zero.</t>
        </r>
      </text>
    </comment>
  </commentList>
</comments>
</file>

<file path=xl/sharedStrings.xml><?xml version="1.0" encoding="utf-8"?>
<sst xmlns="http://schemas.openxmlformats.org/spreadsheetml/2006/main" count="104" uniqueCount="73">
  <si>
    <t>Supplemental Calculations</t>
  </si>
  <si>
    <t>Use the following tools for calculting input parameters for the</t>
  </si>
  <si>
    <t>options valuation spreadsheet.</t>
  </si>
  <si>
    <t>Feel free to modify this spreadsheet to your own needs. If you want to do so, you will have to disable</t>
  </si>
  <si>
    <t>Calculation of interest rates for fractions of a year</t>
  </si>
  <si>
    <t>the protection mode for the spreadsheet (no password needed).</t>
  </si>
  <si>
    <t>Ø</t>
  </si>
  <si>
    <t>Interest rate for one year</t>
  </si>
  <si>
    <t xml:space="preserve">The original version of this spreadsheet was devised by Nils Crasselt, Chair of International Accounting </t>
  </si>
  <si>
    <t xml:space="preserve">at Ruhr-Universität Bochum, Germany (e-mail: crasselt@iur.ruhr-uni-bochum.de). You can download it </t>
  </si>
  <si>
    <t>Divide year into how many periods?</t>
  </si>
  <si>
    <t>from &lt;http://www.iur.ruhr-uni-bochum.de/forschung/real_options.html&gt;.</t>
  </si>
  <si>
    <t>è</t>
  </si>
  <si>
    <t>Interest rate for each period</t>
  </si>
  <si>
    <t>Calculation of upward- and downward-factors from a given variance</t>
  </si>
  <si>
    <t>c</t>
  </si>
  <si>
    <t>Variance for a given time period</t>
  </si>
  <si>
    <t>(e.g. one year)</t>
  </si>
  <si>
    <t>Ä</t>
  </si>
  <si>
    <t>standard deviation</t>
  </si>
  <si>
    <t>Time until expiration (in time units used above,</t>
  </si>
  <si>
    <t>e.g. years)</t>
  </si>
  <si>
    <t>Time until expiration (in binomial periods)</t>
  </si>
  <si>
    <t xml:space="preserve">u = </t>
  </si>
  <si>
    <t xml:space="preserve">d = </t>
  </si>
  <si>
    <t>Calcuation of variance from a given upward- or downward-factor</t>
  </si>
  <si>
    <t>ê</t>
  </si>
  <si>
    <t>Use a given upward- or downward-factor?</t>
  </si>
  <si>
    <t>(u oder d)</t>
  </si>
  <si>
    <t>u</t>
  </si>
  <si>
    <t xml:space="preserve">p = </t>
  </si>
  <si>
    <t>Time until expiration (in time units you want the variance</t>
  </si>
  <si>
    <t>calculated for, e.g. years)</t>
  </si>
  <si>
    <t xml:space="preserve">s² = </t>
  </si>
  <si>
    <t xml:space="preserve"> - </t>
  </si>
  <si>
    <t xml:space="preserve">s = </t>
  </si>
  <si>
    <t>t(0)</t>
  </si>
  <si>
    <t>t(1)</t>
  </si>
  <si>
    <t>Adapted by Marco Antonio Guimaraes Dias</t>
  </si>
  <si>
    <t>Valoração de Opções Reais Usando Binomial</t>
  </si>
  <si>
    <t>Essa planilha irá te orientar no cálculo do valor da opção real e a regra de decisão com o método binomial.</t>
  </si>
  <si>
    <t xml:space="preserve">O número máximo de períodos é 3 (4 instantes de decisão), pode calcular opção européia ou americana </t>
  </si>
  <si>
    <t>(não permitindo ou permitindo o exercício antecipado, respectivamente) e pode ver o efeito de considerar ou não o dividendo.</t>
  </si>
  <si>
    <t>É uma opção call (compra) ou put (venda)?</t>
  </si>
  <si>
    <t>Quantos períodos até a expiração?</t>
  </si>
  <si>
    <t>(1 a 3 períodos)</t>
  </si>
  <si>
    <t>Você permite exercício antecipado?</t>
  </si>
  <si>
    <t>(sim =1, não =0)</t>
  </si>
  <si>
    <t>Você permite "dividendos" (fluxo de caixa) para V?</t>
  </si>
  <si>
    <t>por período</t>
  </si>
  <si>
    <t>Valor presente do projeto</t>
  </si>
  <si>
    <t>Preço de exercício em t(0)</t>
  </si>
  <si>
    <t>Volatilidade do projeto V</t>
  </si>
  <si>
    <t>Fator de subida (upward) para cada período do binomial</t>
  </si>
  <si>
    <t>(excluindo dividendos)</t>
  </si>
  <si>
    <t>(incluindo dividendos)</t>
  </si>
  <si>
    <t>Fator de descida (downward) para cada período do binomial</t>
  </si>
  <si>
    <t>probabilidades Neutras ao Risco</t>
  </si>
  <si>
    <t>1. Cor preta</t>
  </si>
  <si>
    <t>Valor do projeto (ativo básico) em t(i)</t>
  </si>
  <si>
    <t>2. Cor Verde</t>
  </si>
  <si>
    <t xml:space="preserve">3. Cor azul </t>
  </si>
  <si>
    <t>Valor da opção: máximo{espera; exercício} em t(i)</t>
  </si>
  <si>
    <t>4. Cor marrom</t>
  </si>
  <si>
    <t>Respostas em t(0):</t>
  </si>
  <si>
    <t xml:space="preserve">Valor da Opção = </t>
  </si>
  <si>
    <t xml:space="preserve">Política Ótima =  </t>
  </si>
  <si>
    <t>Ponto do tempo</t>
  </si>
  <si>
    <r>
      <t xml:space="preserve">Se sim, qual o % de V ("dividend yield" </t>
    </r>
    <r>
      <rPr>
        <sz val="10"/>
        <rFont val="Symbol"/>
        <family val="1"/>
      </rPr>
      <t>d</t>
    </r>
    <r>
      <rPr>
        <sz val="10"/>
        <rFont val="Arial"/>
        <family val="0"/>
      </rPr>
      <t>)?</t>
    </r>
  </si>
  <si>
    <t>(Call = c, Put= p)</t>
  </si>
  <si>
    <t>Por Prof. Nils Crasselt; adaptado por Marco A.G. Dias</t>
  </si>
  <si>
    <r>
      <t>Taxa de juros livre de risco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(assumida constante).</t>
    </r>
  </si>
  <si>
    <t>e     (1-p) =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</si>
</sst>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0;[Red]\-#,##0.000"/>
    <numFmt numFmtId="186" formatCode="0.000000000"/>
    <numFmt numFmtId="187" formatCode="0.00000000"/>
    <numFmt numFmtId="188" formatCode="0.0000000000"/>
    <numFmt numFmtId="189" formatCode="0.000%"/>
    <numFmt numFmtId="190" formatCode="0.0000%"/>
    <numFmt numFmtId="191" formatCode="0.00000%"/>
    <numFmt numFmtId="192" formatCode="#,##0.0000;[Red]\-#,##0.0000"/>
    <numFmt numFmtId="193" formatCode="#,##0.00000;[Red]\-#,##0.00000"/>
    <numFmt numFmtId="194" formatCode="0.000000%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10"/>
      <name val="Wingdings"/>
      <family val="0"/>
    </font>
    <font>
      <sz val="10"/>
      <color indexed="14"/>
      <name val="Arial"/>
      <family val="0"/>
    </font>
    <font>
      <b/>
      <sz val="10"/>
      <name val="Arial"/>
      <family val="0"/>
    </font>
    <font>
      <b/>
      <u val="single"/>
      <sz val="14"/>
      <name val="Arial"/>
      <family val="0"/>
    </font>
    <font>
      <sz val="10"/>
      <color indexed="10"/>
      <name val="Arial"/>
      <family val="0"/>
    </font>
    <font>
      <u val="single"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2"/>
      <name val="Arial"/>
      <family val="2"/>
    </font>
    <font>
      <sz val="10"/>
      <color indexed="56"/>
      <name val="Arial"/>
      <family val="2"/>
    </font>
    <font>
      <sz val="10"/>
      <color indexed="10"/>
      <name val="MS Sans Serif"/>
      <family val="2"/>
    </font>
    <font>
      <vertAlign val="subscript"/>
      <sz val="10"/>
      <name val="Arial"/>
      <family val="2"/>
    </font>
    <font>
      <b/>
      <u val="single"/>
      <sz val="10"/>
      <color indexed="62"/>
      <name val="Arial"/>
      <family val="2"/>
    </font>
    <font>
      <sz val="10"/>
      <name val="Symbol"/>
      <family val="1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183" fontId="13" fillId="2" borderId="1" xfId="0" applyNumberFormat="1" applyFont="1" applyFill="1" applyBorder="1" applyAlignment="1" applyProtection="1">
      <alignment horizontal="right"/>
      <protection/>
    </xf>
    <xf numFmtId="183" fontId="16" fillId="2" borderId="2" xfId="0" applyNumberFormat="1" applyFont="1" applyFill="1" applyBorder="1" applyAlignment="1" applyProtection="1">
      <alignment horizontal="right"/>
      <protection/>
    </xf>
    <xf numFmtId="183" fontId="14" fillId="2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 applyProtection="1">
      <alignment horizontal="right"/>
      <protection/>
    </xf>
    <xf numFmtId="181" fontId="4" fillId="2" borderId="0" xfId="0" applyNumberFormat="1" applyFont="1" applyFill="1" applyBorder="1" applyAlignment="1" applyProtection="1">
      <alignment horizontal="left"/>
      <protection/>
    </xf>
    <xf numFmtId="182" fontId="4" fillId="2" borderId="0" xfId="0" applyNumberFormat="1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185" fontId="4" fillId="2" borderId="7" xfId="18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83" fontId="4" fillId="2" borderId="8" xfId="0" applyNumberFormat="1" applyFont="1" applyFill="1" applyBorder="1" applyAlignment="1" applyProtection="1">
      <alignment/>
      <protection/>
    </xf>
    <xf numFmtId="183" fontId="4" fillId="2" borderId="9" xfId="0" applyNumberFormat="1" applyFont="1" applyFill="1" applyBorder="1" applyAlignment="1" applyProtection="1">
      <alignment/>
      <protection/>
    </xf>
    <xf numFmtId="183" fontId="4" fillId="2" borderId="9" xfId="0" applyNumberFormat="1" applyFont="1" applyFill="1" applyBorder="1" applyAlignment="1" applyProtection="1">
      <alignment horizontal="right"/>
      <protection/>
    </xf>
    <xf numFmtId="183" fontId="4" fillId="2" borderId="1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183" fontId="4" fillId="2" borderId="9" xfId="0" applyNumberFormat="1" applyFont="1" applyFill="1" applyBorder="1" applyAlignment="1" applyProtection="1">
      <alignment horizontal="center"/>
      <protection/>
    </xf>
    <xf numFmtId="183" fontId="4" fillId="2" borderId="10" xfId="0" applyNumberFormat="1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7" fillId="3" borderId="12" xfId="0" applyFont="1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3" borderId="14" xfId="0" applyFont="1" applyFill="1" applyBorder="1" applyAlignment="1" applyProtection="1">
      <alignment/>
      <protection/>
    </xf>
    <xf numFmtId="0" fontId="7" fillId="3" borderId="15" xfId="0" applyFont="1" applyFill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183" fontId="4" fillId="3" borderId="0" xfId="0" applyNumberFormat="1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/>
      <protection/>
    </xf>
    <xf numFmtId="0" fontId="7" fillId="3" borderId="18" xfId="0" applyFont="1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/>
    </xf>
    <xf numFmtId="0" fontId="4" fillId="3" borderId="2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84" fontId="8" fillId="2" borderId="0" xfId="17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89" fontId="4" fillId="2" borderId="0" xfId="17" applyNumberFormat="1" applyFont="1" applyFill="1" applyBorder="1" applyAlignment="1" applyProtection="1">
      <alignment horizontal="center"/>
      <protection/>
    </xf>
    <xf numFmtId="2" fontId="4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/>
      <protection/>
    </xf>
    <xf numFmtId="0" fontId="17" fillId="4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/>
    </xf>
    <xf numFmtId="0" fontId="9" fillId="2" borderId="7" xfId="0" applyNumberFormat="1" applyFont="1" applyFill="1" applyBorder="1" applyAlignment="1" applyProtection="1">
      <alignment horizontal="center"/>
      <protection/>
    </xf>
    <xf numFmtId="183" fontId="20" fillId="2" borderId="1" xfId="0" applyNumberFormat="1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9" fontId="17" fillId="4" borderId="7" xfId="17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right"/>
      <protection/>
    </xf>
    <xf numFmtId="183" fontId="22" fillId="3" borderId="0" xfId="0" applyNumberFormat="1" applyFont="1" applyFill="1" applyBorder="1" applyAlignment="1" applyProtection="1">
      <alignment horizontal="center"/>
      <protection/>
    </xf>
    <xf numFmtId="0" fontId="22" fillId="3" borderId="0" xfId="0" applyFont="1" applyFill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183" fontId="9" fillId="2" borderId="21" xfId="0" applyNumberFormat="1" applyFont="1" applyFill="1" applyBorder="1" applyAlignment="1" applyProtection="1">
      <alignment/>
      <protection/>
    </xf>
    <xf numFmtId="183" fontId="9" fillId="2" borderId="21" xfId="0" applyNumberFormat="1" applyFont="1" applyFill="1" applyBorder="1" applyAlignment="1" applyProtection="1">
      <alignment horizontal="right"/>
      <protection/>
    </xf>
    <xf numFmtId="183" fontId="20" fillId="2" borderId="1" xfId="0" applyNumberFormat="1" applyFont="1" applyFill="1" applyBorder="1" applyAlignment="1" applyProtection="1">
      <alignment horizontal="right"/>
      <protection/>
    </xf>
    <xf numFmtId="0" fontId="6" fillId="3" borderId="0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3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2.57421875" style="2" customWidth="1"/>
    <col min="2" max="2" width="2.421875" style="2" customWidth="1"/>
    <col min="3" max="3" width="1.7109375" style="1" customWidth="1"/>
    <col min="4" max="4" width="2.7109375" style="2" customWidth="1"/>
    <col min="5" max="7" width="11.421875" style="2" customWidth="1"/>
    <col min="8" max="8" width="8.7109375" style="2" customWidth="1"/>
    <col min="9" max="9" width="1.7109375" style="2" customWidth="1"/>
    <col min="10" max="10" width="2.7109375" style="2" customWidth="1"/>
    <col min="11" max="14" width="11.421875" style="2" customWidth="1"/>
    <col min="15" max="15" width="1.7109375" style="2" customWidth="1"/>
    <col min="16" max="19" width="3.7109375" style="2" customWidth="1"/>
    <col min="20" max="20" width="1.7109375" style="2" customWidth="1"/>
    <col min="21" max="21" width="2.7109375" style="2" customWidth="1"/>
    <col min="22" max="22" width="11.421875" style="2" customWidth="1"/>
    <col min="23" max="23" width="17.140625" style="2" customWidth="1"/>
    <col min="24" max="25" width="11.421875" style="2" customWidth="1"/>
    <col min="26" max="26" width="3.7109375" style="2" customWidth="1"/>
    <col min="27" max="16384" width="11.421875" style="2" customWidth="1"/>
  </cols>
  <sheetData>
    <row r="1" spans="2:26" ht="18">
      <c r="B1" s="23"/>
      <c r="C1" s="30" t="s">
        <v>39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S1" s="23"/>
      <c r="T1" s="30" t="s">
        <v>0</v>
      </c>
      <c r="U1" s="19"/>
      <c r="V1" s="19"/>
      <c r="W1" s="19"/>
      <c r="X1" s="19"/>
      <c r="Y1" s="19"/>
      <c r="Z1" s="21"/>
    </row>
    <row r="2" spans="2:26" ht="12.75">
      <c r="B2" s="23"/>
      <c r="C2" s="85" t="s">
        <v>70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31"/>
      <c r="Q2" s="16"/>
      <c r="R2" s="16"/>
      <c r="S2" s="18"/>
      <c r="T2" s="71"/>
      <c r="U2" s="17"/>
      <c r="V2" s="17"/>
      <c r="W2" s="17"/>
      <c r="X2" s="17"/>
      <c r="Y2" s="19"/>
      <c r="Z2" s="21"/>
    </row>
    <row r="3" spans="2:26" ht="12.75">
      <c r="B3" s="23"/>
      <c r="C3" s="24" t="s">
        <v>40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31"/>
      <c r="Q3" s="16"/>
      <c r="R3" s="16"/>
      <c r="S3" s="18"/>
      <c r="T3" s="17" t="s">
        <v>1</v>
      </c>
      <c r="U3" s="17"/>
      <c r="V3" s="17"/>
      <c r="W3" s="17"/>
      <c r="X3" s="17"/>
      <c r="Y3" s="72"/>
      <c r="Z3" s="21"/>
    </row>
    <row r="4" spans="2:26" ht="12.75">
      <c r="B4" s="23"/>
      <c r="C4" s="24" t="s">
        <v>41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31"/>
      <c r="Q4" s="16"/>
      <c r="R4" s="16"/>
      <c r="S4" s="18"/>
      <c r="T4" s="17" t="s">
        <v>2</v>
      </c>
      <c r="U4" s="17"/>
      <c r="V4" s="17"/>
      <c r="W4" s="17"/>
      <c r="X4" s="17"/>
      <c r="Y4" s="72"/>
      <c r="Z4" s="21"/>
    </row>
    <row r="5" spans="2:26" ht="12.75">
      <c r="B5" s="23"/>
      <c r="C5" s="24" t="s">
        <v>42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31"/>
      <c r="Q5" s="16"/>
      <c r="R5" s="16"/>
      <c r="S5" s="18"/>
      <c r="T5" s="17"/>
      <c r="U5" s="17"/>
      <c r="V5" s="17"/>
      <c r="W5" s="17"/>
      <c r="X5" s="17"/>
      <c r="Y5" s="72"/>
      <c r="Z5" s="21"/>
    </row>
    <row r="6" spans="2:26" ht="12.75">
      <c r="B6" s="2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31"/>
      <c r="Q6" s="16"/>
      <c r="R6" s="16"/>
      <c r="S6" s="23"/>
      <c r="T6" s="22"/>
      <c r="U6" s="20"/>
      <c r="V6" s="20"/>
      <c r="W6" s="20"/>
      <c r="X6" s="20"/>
      <c r="Y6" s="24"/>
      <c r="Z6" s="21"/>
    </row>
    <row r="7" spans="2:26" ht="12.75">
      <c r="B7" s="23"/>
      <c r="C7" s="22" t="s">
        <v>6</v>
      </c>
      <c r="D7" s="20" t="s">
        <v>43</v>
      </c>
      <c r="E7" s="20"/>
      <c r="F7" s="20"/>
      <c r="G7" s="20"/>
      <c r="H7" s="20"/>
      <c r="I7" s="22" t="s">
        <v>6</v>
      </c>
      <c r="J7" s="20" t="s">
        <v>50</v>
      </c>
      <c r="K7" s="20"/>
      <c r="L7" s="19"/>
      <c r="M7" s="80">
        <v>130</v>
      </c>
      <c r="N7" s="20"/>
      <c r="O7" s="20"/>
      <c r="P7" s="21"/>
      <c r="S7" s="23"/>
      <c r="T7" s="41" t="s">
        <v>14</v>
      </c>
      <c r="U7" s="20"/>
      <c r="V7" s="20"/>
      <c r="W7" s="20"/>
      <c r="X7" s="20"/>
      <c r="Y7" s="20"/>
      <c r="Z7" s="21"/>
    </row>
    <row r="8" spans="2:26" ht="12.75">
      <c r="B8" s="23"/>
      <c r="C8" s="22"/>
      <c r="D8" s="20"/>
      <c r="E8" s="20" t="s">
        <v>69</v>
      </c>
      <c r="F8" s="20"/>
      <c r="G8" s="80" t="s">
        <v>15</v>
      </c>
      <c r="H8" s="20"/>
      <c r="I8" s="22" t="s">
        <v>6</v>
      </c>
      <c r="J8" s="20" t="s">
        <v>51</v>
      </c>
      <c r="K8" s="20"/>
      <c r="L8" s="19"/>
      <c r="M8" s="80">
        <v>140</v>
      </c>
      <c r="N8" s="20"/>
      <c r="O8" s="20"/>
      <c r="P8" s="21"/>
      <c r="S8" s="23"/>
      <c r="T8" s="20"/>
      <c r="U8" s="20"/>
      <c r="V8" s="20"/>
      <c r="W8" s="20"/>
      <c r="X8" s="20"/>
      <c r="Y8" s="20"/>
      <c r="Z8" s="21"/>
    </row>
    <row r="9" spans="2:26" ht="12.75">
      <c r="B9" s="23"/>
      <c r="C9" s="32"/>
      <c r="D9" s="20"/>
      <c r="E9" s="20"/>
      <c r="F9" s="20"/>
      <c r="G9" s="20"/>
      <c r="H9" s="20"/>
      <c r="I9" s="22" t="s">
        <v>6</v>
      </c>
      <c r="J9" s="19" t="s">
        <v>52</v>
      </c>
      <c r="K9" s="19"/>
      <c r="L9" s="19"/>
      <c r="M9" s="86">
        <v>0.15</v>
      </c>
      <c r="N9" s="20" t="s">
        <v>49</v>
      </c>
      <c r="O9" s="20"/>
      <c r="P9" s="21"/>
      <c r="S9" s="23"/>
      <c r="T9" s="22" t="s">
        <v>6</v>
      </c>
      <c r="U9" s="20" t="s">
        <v>16</v>
      </c>
      <c r="V9" s="20"/>
      <c r="W9" s="20"/>
      <c r="X9" s="20"/>
      <c r="Y9" s="20"/>
      <c r="Z9" s="21"/>
    </row>
    <row r="10" spans="2:26" ht="12.75">
      <c r="B10" s="23"/>
      <c r="C10" s="22" t="s">
        <v>6</v>
      </c>
      <c r="D10" s="20" t="s">
        <v>44</v>
      </c>
      <c r="E10" s="20"/>
      <c r="F10" s="20"/>
      <c r="G10" s="20"/>
      <c r="H10" s="20"/>
      <c r="I10" s="22" t="s">
        <v>18</v>
      </c>
      <c r="J10" s="20" t="s">
        <v>53</v>
      </c>
      <c r="K10" s="20"/>
      <c r="L10" s="19"/>
      <c r="M10" s="19"/>
      <c r="N10" s="20"/>
      <c r="O10" s="20"/>
      <c r="P10" s="21"/>
      <c r="S10" s="23"/>
      <c r="T10" s="20"/>
      <c r="U10" s="20"/>
      <c r="V10" s="20" t="s">
        <v>17</v>
      </c>
      <c r="W10" s="20"/>
      <c r="X10" s="75">
        <v>0.09</v>
      </c>
      <c r="Y10" s="19"/>
      <c r="Z10" s="21"/>
    </row>
    <row r="11" spans="2:26" ht="12.75">
      <c r="B11" s="23"/>
      <c r="C11" s="22"/>
      <c r="D11" s="20"/>
      <c r="E11" s="20" t="s">
        <v>45</v>
      </c>
      <c r="F11" s="20"/>
      <c r="G11" s="80">
        <v>3</v>
      </c>
      <c r="H11" s="20"/>
      <c r="I11" s="19"/>
      <c r="J11" s="19"/>
      <c r="K11" s="19" t="s">
        <v>54</v>
      </c>
      <c r="L11" s="19"/>
      <c r="M11" s="81">
        <f>EXP(vol)</f>
        <v>1.161834242728283</v>
      </c>
      <c r="N11" s="20"/>
      <c r="O11" s="20"/>
      <c r="P11" s="21"/>
      <c r="S11" s="23"/>
      <c r="T11" s="20"/>
      <c r="U11" s="20"/>
      <c r="V11" s="20"/>
      <c r="W11" s="20"/>
      <c r="X11" s="20"/>
      <c r="Y11" s="24"/>
      <c r="Z11" s="21"/>
    </row>
    <row r="12" spans="2:26" ht="12.75">
      <c r="B12" s="23"/>
      <c r="C12" s="32"/>
      <c r="D12" s="20"/>
      <c r="E12" s="20"/>
      <c r="F12" s="20"/>
      <c r="G12" s="20"/>
      <c r="H12" s="20"/>
      <c r="I12" s="19"/>
      <c r="J12" s="19"/>
      <c r="K12" s="19"/>
      <c r="L12" s="19"/>
      <c r="M12" s="19"/>
      <c r="N12" s="20"/>
      <c r="O12" s="20"/>
      <c r="P12" s="21"/>
      <c r="S12" s="23"/>
      <c r="T12" s="20"/>
      <c r="U12" s="22" t="s">
        <v>18</v>
      </c>
      <c r="V12" s="20" t="s">
        <v>19</v>
      </c>
      <c r="W12" s="20"/>
      <c r="X12" s="77">
        <f>X10^0.5</f>
        <v>0.3</v>
      </c>
      <c r="Y12" s="78"/>
      <c r="Z12" s="21"/>
    </row>
    <row r="13" spans="2:26" ht="12.75">
      <c r="B13" s="23"/>
      <c r="C13" s="22" t="s">
        <v>6</v>
      </c>
      <c r="D13" s="20" t="s">
        <v>46</v>
      </c>
      <c r="E13" s="20"/>
      <c r="F13" s="20"/>
      <c r="G13" s="20"/>
      <c r="H13" s="20"/>
      <c r="I13" s="19"/>
      <c r="J13" s="22" t="s">
        <v>18</v>
      </c>
      <c r="K13" s="20" t="s">
        <v>53</v>
      </c>
      <c r="L13" s="19"/>
      <c r="M13" s="19"/>
      <c r="N13" s="20"/>
      <c r="O13" s="20"/>
      <c r="P13" s="21"/>
      <c r="S13" s="23"/>
      <c r="T13" s="20"/>
      <c r="U13" s="20"/>
      <c r="V13" s="20"/>
      <c r="W13" s="20"/>
      <c r="X13" s="20"/>
      <c r="Y13" s="24"/>
      <c r="Z13" s="21"/>
    </row>
    <row r="14" spans="2:26" ht="12.75">
      <c r="B14" s="23"/>
      <c r="C14" s="22"/>
      <c r="D14" s="20"/>
      <c r="E14" s="20" t="s">
        <v>47</v>
      </c>
      <c r="F14" s="20"/>
      <c r="G14" s="80">
        <v>1</v>
      </c>
      <c r="H14" s="20"/>
      <c r="I14" s="19"/>
      <c r="J14" s="19"/>
      <c r="K14" s="19" t="s">
        <v>55</v>
      </c>
      <c r="L14" s="19"/>
      <c r="M14" s="81">
        <f>M11*(1+div*$G$17)</f>
        <v>1.2199259548646972</v>
      </c>
      <c r="N14" s="20"/>
      <c r="O14" s="20"/>
      <c r="P14" s="21"/>
      <c r="S14" s="23"/>
      <c r="T14" s="22" t="s">
        <v>6</v>
      </c>
      <c r="U14" s="20" t="s">
        <v>20</v>
      </c>
      <c r="V14" s="20"/>
      <c r="W14" s="20"/>
      <c r="X14" s="24"/>
      <c r="Y14" s="78"/>
      <c r="Z14" s="21"/>
    </row>
    <row r="15" spans="2:26" ht="12.75">
      <c r="B15" s="23"/>
      <c r="C15" s="32"/>
      <c r="D15" s="20"/>
      <c r="E15" s="20"/>
      <c r="F15" s="20"/>
      <c r="G15" s="20"/>
      <c r="H15" s="20"/>
      <c r="I15" s="19"/>
      <c r="J15" s="19"/>
      <c r="K15" s="19"/>
      <c r="L15" s="19"/>
      <c r="M15" s="19"/>
      <c r="N15" s="20"/>
      <c r="O15" s="20"/>
      <c r="P15" s="21"/>
      <c r="S15" s="23"/>
      <c r="T15" s="22"/>
      <c r="U15" s="20"/>
      <c r="V15" s="20" t="s">
        <v>21</v>
      </c>
      <c r="W15" s="20"/>
      <c r="X15" s="75">
        <v>1</v>
      </c>
      <c r="Y15" s="78"/>
      <c r="Z15" s="21"/>
    </row>
    <row r="16" spans="2:26" ht="12.75">
      <c r="B16" s="23"/>
      <c r="C16" s="22" t="s">
        <v>6</v>
      </c>
      <c r="D16" s="20" t="s">
        <v>48</v>
      </c>
      <c r="E16" s="20"/>
      <c r="F16" s="20"/>
      <c r="G16" s="20"/>
      <c r="H16" s="20"/>
      <c r="I16" s="22" t="s">
        <v>18</v>
      </c>
      <c r="J16" s="20" t="s">
        <v>56</v>
      </c>
      <c r="K16" s="20"/>
      <c r="L16" s="19"/>
      <c r="M16" s="19"/>
      <c r="N16" s="20"/>
      <c r="O16" s="20"/>
      <c r="P16" s="21"/>
      <c r="S16" s="23"/>
      <c r="T16" s="20"/>
      <c r="U16" s="20"/>
      <c r="V16" s="20"/>
      <c r="W16" s="20"/>
      <c r="X16" s="20"/>
      <c r="Y16" s="19"/>
      <c r="Z16" s="21"/>
    </row>
    <row r="17" spans="2:26" ht="12.75">
      <c r="B17" s="23"/>
      <c r="C17" s="32"/>
      <c r="D17" s="20"/>
      <c r="E17" s="20" t="s">
        <v>47</v>
      </c>
      <c r="F17" s="20"/>
      <c r="G17" s="80">
        <v>1</v>
      </c>
      <c r="H17" s="20"/>
      <c r="I17" s="19"/>
      <c r="J17" s="19"/>
      <c r="K17" s="19" t="s">
        <v>54</v>
      </c>
      <c r="L17" s="19"/>
      <c r="M17" s="81">
        <f>1/u</f>
        <v>0.8607079764250578</v>
      </c>
      <c r="N17" s="20"/>
      <c r="O17" s="20"/>
      <c r="P17" s="21"/>
      <c r="S17" s="23"/>
      <c r="T17" s="22" t="s">
        <v>6</v>
      </c>
      <c r="U17" s="20" t="s">
        <v>22</v>
      </c>
      <c r="V17" s="20"/>
      <c r="W17" s="20"/>
      <c r="X17" s="24"/>
      <c r="Y17" s="78"/>
      <c r="Z17" s="21"/>
    </row>
    <row r="18" spans="2:26" ht="12.75">
      <c r="B18" s="23"/>
      <c r="C18" s="32"/>
      <c r="D18" s="20"/>
      <c r="E18" s="20"/>
      <c r="F18" s="20"/>
      <c r="G18" s="20"/>
      <c r="H18" s="20"/>
      <c r="I18" s="19"/>
      <c r="J18" s="19"/>
      <c r="K18" s="19"/>
      <c r="L18" s="19"/>
      <c r="M18" s="19"/>
      <c r="N18" s="20"/>
      <c r="O18" s="20"/>
      <c r="P18" s="21"/>
      <c r="S18" s="23"/>
      <c r="T18" s="22"/>
      <c r="U18" s="20"/>
      <c r="V18" s="20"/>
      <c r="W18" s="20"/>
      <c r="X18" s="75">
        <v>3</v>
      </c>
      <c r="Y18" s="78"/>
      <c r="Z18" s="21"/>
    </row>
    <row r="19" spans="2:26" ht="12.75">
      <c r="B19" s="23"/>
      <c r="C19" s="22" t="s">
        <v>6</v>
      </c>
      <c r="D19" s="20" t="s">
        <v>68</v>
      </c>
      <c r="E19" s="20"/>
      <c r="F19" s="20"/>
      <c r="G19" s="20"/>
      <c r="H19" s="20"/>
      <c r="I19" s="19"/>
      <c r="J19" s="22" t="s">
        <v>18</v>
      </c>
      <c r="K19" s="20" t="s">
        <v>56</v>
      </c>
      <c r="L19" s="19"/>
      <c r="M19" s="19"/>
      <c r="N19" s="20"/>
      <c r="O19" s="20"/>
      <c r="P19" s="21"/>
      <c r="S19" s="23"/>
      <c r="T19" s="20"/>
      <c r="U19" s="20"/>
      <c r="V19" s="20"/>
      <c r="W19" s="20"/>
      <c r="X19" s="20"/>
      <c r="Y19" s="24"/>
      <c r="Z19" s="21"/>
    </row>
    <row r="20" spans="2:26" ht="12.75">
      <c r="B20" s="23"/>
      <c r="C20" s="32"/>
      <c r="D20" s="22"/>
      <c r="E20" s="20"/>
      <c r="F20" s="20"/>
      <c r="G20" s="86">
        <v>0.05</v>
      </c>
      <c r="H20" s="20" t="s">
        <v>49</v>
      </c>
      <c r="I20" s="19"/>
      <c r="J20" s="19"/>
      <c r="K20" s="19" t="s">
        <v>55</v>
      </c>
      <c r="L20" s="19"/>
      <c r="M20" s="82">
        <f>M17*(1+div*$G$17)</f>
        <v>0.9037433752463108</v>
      </c>
      <c r="N20" s="20"/>
      <c r="O20" s="20"/>
      <c r="P20" s="21"/>
      <c r="S20" s="23"/>
      <c r="T20" s="20"/>
      <c r="U20" s="22" t="s">
        <v>12</v>
      </c>
      <c r="V20" s="25" t="s">
        <v>23</v>
      </c>
      <c r="W20" s="26">
        <f>EXP((X10^0.5)*(X15/X18)^0.5)</f>
        <v>1.1891099436471448</v>
      </c>
      <c r="X20" s="24"/>
      <c r="Y20" s="20"/>
      <c r="Z20" s="21"/>
    </row>
    <row r="21" spans="2:26" ht="12.75">
      <c r="B21" s="23"/>
      <c r="C21" s="32"/>
      <c r="D21" s="20"/>
      <c r="E21" s="20"/>
      <c r="F21" s="20"/>
      <c r="G21" s="20"/>
      <c r="H21" s="20"/>
      <c r="I21" s="19"/>
      <c r="J21" s="19"/>
      <c r="K21" s="19"/>
      <c r="L21" s="19"/>
      <c r="M21" s="20"/>
      <c r="N21" s="20"/>
      <c r="O21" s="20"/>
      <c r="P21" s="21"/>
      <c r="S21" s="23"/>
      <c r="T21" s="20"/>
      <c r="U21" s="20"/>
      <c r="V21" s="25" t="s">
        <v>24</v>
      </c>
      <c r="W21" s="26">
        <f>EXP(-(X10^0.5)*(X15/X18)^0.5)</f>
        <v>0.8409651313930471</v>
      </c>
      <c r="X21" s="24"/>
      <c r="Y21" s="20"/>
      <c r="Z21" s="21"/>
    </row>
    <row r="22" spans="2:26" ht="15.75">
      <c r="B22" s="23"/>
      <c r="C22" s="22" t="s">
        <v>6</v>
      </c>
      <c r="D22" s="20" t="s">
        <v>71</v>
      </c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1"/>
      <c r="S22" s="23"/>
      <c r="T22" s="20"/>
      <c r="U22" s="20"/>
      <c r="V22" s="20"/>
      <c r="W22" s="20"/>
      <c r="X22" s="20"/>
      <c r="Y22" s="20"/>
      <c r="Z22" s="21"/>
    </row>
    <row r="23" spans="2:26" ht="12.75">
      <c r="B23" s="23"/>
      <c r="C23" s="19"/>
      <c r="D23" s="20"/>
      <c r="E23" s="20"/>
      <c r="F23" s="20"/>
      <c r="G23" s="86">
        <v>0.05</v>
      </c>
      <c r="H23" s="20" t="s">
        <v>49</v>
      </c>
      <c r="I23" s="20"/>
      <c r="J23" s="20"/>
      <c r="K23" s="20"/>
      <c r="L23" s="20"/>
      <c r="M23" s="20"/>
      <c r="N23" s="20"/>
      <c r="O23" s="20"/>
      <c r="P23" s="21"/>
      <c r="S23" s="23"/>
      <c r="T23" s="41" t="s">
        <v>25</v>
      </c>
      <c r="U23" s="20"/>
      <c r="V23" s="20"/>
      <c r="W23" s="20"/>
      <c r="X23" s="20"/>
      <c r="Y23" s="20"/>
      <c r="Z23" s="21"/>
    </row>
    <row r="24" spans="2:26" ht="12.75">
      <c r="B24" s="23"/>
      <c r="C24" s="22"/>
      <c r="D24" s="20"/>
      <c r="E24" s="20"/>
      <c r="F24" s="20"/>
      <c r="G24" s="19"/>
      <c r="H24" s="19"/>
      <c r="I24" s="19"/>
      <c r="J24" s="20"/>
      <c r="K24" s="20"/>
      <c r="L24" s="20"/>
      <c r="M24" s="20"/>
      <c r="N24" s="20"/>
      <c r="O24" s="20"/>
      <c r="P24" s="21"/>
      <c r="S24" s="23"/>
      <c r="T24" s="20"/>
      <c r="U24" s="20"/>
      <c r="V24" s="20"/>
      <c r="W24" s="20"/>
      <c r="X24" s="20"/>
      <c r="Y24" s="20"/>
      <c r="Z24" s="21"/>
    </row>
    <row r="25" spans="2:26" ht="12.75">
      <c r="B25" s="23"/>
      <c r="C25" s="19"/>
      <c r="D25" s="19"/>
      <c r="E25" s="19"/>
      <c r="F25" s="19"/>
      <c r="G25" s="19"/>
      <c r="H25" s="20"/>
      <c r="I25" s="20"/>
      <c r="J25" s="20"/>
      <c r="K25" s="20"/>
      <c r="L25" s="22" t="s">
        <v>26</v>
      </c>
      <c r="M25" s="20"/>
      <c r="N25" s="20"/>
      <c r="O25" s="20"/>
      <c r="P25" s="21"/>
      <c r="S25" s="23"/>
      <c r="T25" s="22" t="s">
        <v>6</v>
      </c>
      <c r="U25" s="20" t="s">
        <v>27</v>
      </c>
      <c r="V25" s="20"/>
      <c r="W25" s="20"/>
      <c r="X25" s="20"/>
      <c r="Y25" s="20"/>
      <c r="Z25" s="21"/>
    </row>
    <row r="26" spans="2:26" ht="12.75">
      <c r="B26" s="23"/>
      <c r="C26" s="33" t="str">
        <f>"Valoração de uma opção "&amp;IF(G14=1,"americana ","européia ")&amp;IF(o="c","call (compra)","put (venda)")</f>
        <v>Valoração de uma opção americana call (compra)</v>
      </c>
      <c r="D26" s="19"/>
      <c r="E26" s="19"/>
      <c r="F26" s="19"/>
      <c r="G26" s="19"/>
      <c r="H26" s="20"/>
      <c r="I26" s="34" t="s">
        <v>57</v>
      </c>
      <c r="J26" s="19"/>
      <c r="K26" s="19"/>
      <c r="L26" s="19"/>
      <c r="M26" s="20"/>
      <c r="N26" s="20"/>
      <c r="O26" s="20"/>
      <c r="P26" s="21"/>
      <c r="S26" s="23"/>
      <c r="T26" s="20"/>
      <c r="U26" s="20"/>
      <c r="V26" s="20" t="s">
        <v>28</v>
      </c>
      <c r="W26" s="20"/>
      <c r="X26" s="75" t="s">
        <v>29</v>
      </c>
      <c r="Y26" s="20"/>
      <c r="Z26" s="21"/>
    </row>
    <row r="27" spans="2:26" ht="12.75">
      <c r="B27" s="23"/>
      <c r="C27" s="33" t="str">
        <f>"com "&amp;G11&amp;" período(s) "&amp;IF(G17=1,"com ","sem ")&amp;"dividendos"</f>
        <v>com 3 período(s) com dividendos</v>
      </c>
      <c r="D27" s="19"/>
      <c r="E27" s="19"/>
      <c r="F27" s="19"/>
      <c r="G27" s="19"/>
      <c r="H27" s="19"/>
      <c r="I27" s="20"/>
      <c r="J27" s="97" t="s">
        <v>30</v>
      </c>
      <c r="K27" s="35">
        <f>(1+rf-dd)/(ud-dd)</f>
        <v>0.4625701546562505</v>
      </c>
      <c r="L27" s="36" t="s">
        <v>72</v>
      </c>
      <c r="M27" s="35">
        <f>1-p</f>
        <v>0.5374298453437495</v>
      </c>
      <c r="N27" s="19"/>
      <c r="O27" s="20"/>
      <c r="P27" s="21"/>
      <c r="S27" s="23"/>
      <c r="T27" s="20"/>
      <c r="U27" s="20"/>
      <c r="V27" s="20"/>
      <c r="W27" s="20"/>
      <c r="X27" s="20"/>
      <c r="Y27" s="24"/>
      <c r="Z27" s="21"/>
    </row>
    <row r="28" spans="2:26" ht="13.5" thickBot="1">
      <c r="B28" s="23"/>
      <c r="C28" s="32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1"/>
      <c r="S28" s="23"/>
      <c r="T28" s="22" t="s">
        <v>6</v>
      </c>
      <c r="U28" s="20" t="str">
        <f>IF(X26="u","Upward-factor","Downward-factor")&amp;" for each binomial period n(i)"</f>
        <v>Upward-factor for each binomial period n(i)</v>
      </c>
      <c r="V28" s="20"/>
      <c r="W28" s="20"/>
      <c r="X28" s="24"/>
      <c r="Y28" s="20"/>
      <c r="Z28" s="21"/>
    </row>
    <row r="29" spans="2:26" ht="12.75">
      <c r="B29" s="23"/>
      <c r="C29" s="49"/>
      <c r="D29" s="50"/>
      <c r="E29" s="50"/>
      <c r="F29" s="50"/>
      <c r="G29" s="50"/>
      <c r="H29" s="50"/>
      <c r="I29" s="51"/>
      <c r="J29" s="51"/>
      <c r="K29" s="51"/>
      <c r="L29" s="51"/>
      <c r="M29" s="51"/>
      <c r="N29" s="51"/>
      <c r="O29" s="52"/>
      <c r="P29" s="21"/>
      <c r="S29" s="23"/>
      <c r="T29" s="22"/>
      <c r="U29" s="20"/>
      <c r="V29" s="20"/>
      <c r="W29" s="20"/>
      <c r="X29" s="75">
        <v>1.1891</v>
      </c>
      <c r="Y29" s="20"/>
      <c r="Z29" s="21"/>
    </row>
    <row r="30" spans="2:26" ht="12.75">
      <c r="B30" s="23"/>
      <c r="C30" s="53"/>
      <c r="D30" s="91" t="str">
        <f>CONCATENATE("Preço de exercício ",IF(o="c","(investimento): ","(valor residual): "))</f>
        <v>Preço de exercício (investimento): </v>
      </c>
      <c r="E30" s="54"/>
      <c r="F30" s="55"/>
      <c r="G30" s="55"/>
      <c r="H30" s="55"/>
      <c r="I30" s="54"/>
      <c r="J30" s="54"/>
      <c r="K30" s="37">
        <f>M8</f>
        <v>140</v>
      </c>
      <c r="L30" s="38">
        <f>K30</f>
        <v>140</v>
      </c>
      <c r="M30" s="39">
        <f>IF(per&gt;1,L30," - ")</f>
        <v>140</v>
      </c>
      <c r="N30" s="40">
        <f>IF(per&gt;2,M30," - ")</f>
        <v>140</v>
      </c>
      <c r="O30" s="56"/>
      <c r="P30" s="21"/>
      <c r="S30" s="23"/>
      <c r="T30" s="20"/>
      <c r="U30" s="20"/>
      <c r="V30" s="20"/>
      <c r="W30" s="20"/>
      <c r="X30" s="20"/>
      <c r="Y30" s="20"/>
      <c r="Z30" s="21"/>
    </row>
    <row r="31" spans="2:26" ht="12.75">
      <c r="B31" s="23"/>
      <c r="C31" s="53"/>
      <c r="D31" s="57"/>
      <c r="E31" s="57"/>
      <c r="F31" s="57"/>
      <c r="G31" s="57"/>
      <c r="H31" s="57"/>
      <c r="I31" s="58"/>
      <c r="J31" s="58"/>
      <c r="K31" s="58"/>
      <c r="L31" s="58"/>
      <c r="M31" s="58"/>
      <c r="N31" s="58"/>
      <c r="O31" s="56"/>
      <c r="P31" s="21"/>
      <c r="S31" s="23"/>
      <c r="T31" s="22" t="s">
        <v>6</v>
      </c>
      <c r="U31" s="20" t="s">
        <v>22</v>
      </c>
      <c r="V31" s="20"/>
      <c r="W31" s="20"/>
      <c r="X31" s="24"/>
      <c r="Y31" s="78"/>
      <c r="Z31" s="21"/>
    </row>
    <row r="32" spans="2:26" ht="12.75">
      <c r="B32" s="23"/>
      <c r="C32" s="53"/>
      <c r="D32" s="57"/>
      <c r="E32" s="57"/>
      <c r="F32" s="57"/>
      <c r="G32" s="57"/>
      <c r="H32" s="57"/>
      <c r="I32" s="58"/>
      <c r="J32" s="58"/>
      <c r="K32" s="59"/>
      <c r="L32" s="59"/>
      <c r="M32" s="59"/>
      <c r="N32" s="93">
        <f>IF(per&gt;2,M34*u," - ")</f>
        <v>203.88058411372194</v>
      </c>
      <c r="O32" s="60"/>
      <c r="P32" s="21"/>
      <c r="S32" s="23"/>
      <c r="T32" s="22"/>
      <c r="U32" s="20"/>
      <c r="V32" s="20"/>
      <c r="W32" s="20"/>
      <c r="X32" s="75">
        <v>3</v>
      </c>
      <c r="Y32" s="24"/>
      <c r="Z32" s="21"/>
    </row>
    <row r="33" spans="2:26" ht="12.75">
      <c r="B33" s="23"/>
      <c r="C33" s="53"/>
      <c r="D33" s="57"/>
      <c r="E33" s="57"/>
      <c r="F33" s="57"/>
      <c r="G33" s="57"/>
      <c r="H33" s="57"/>
      <c r="I33" s="58"/>
      <c r="J33" s="58"/>
      <c r="K33" s="59"/>
      <c r="L33" s="59"/>
      <c r="M33" s="59"/>
      <c r="N33" s="13">
        <f>IF(per&gt;2,IF($G$17=1,N32*div*$G$17," - ")," - ")</f>
        <v>10.194029205686098</v>
      </c>
      <c r="O33" s="60"/>
      <c r="P33" s="21"/>
      <c r="S33" s="23"/>
      <c r="T33" s="20"/>
      <c r="U33" s="20"/>
      <c r="V33" s="20"/>
      <c r="W33" s="20"/>
      <c r="X33" s="20"/>
      <c r="Y33" s="24"/>
      <c r="Z33" s="21"/>
    </row>
    <row r="34" spans="2:26" ht="12.75">
      <c r="B34" s="23"/>
      <c r="C34" s="53"/>
      <c r="D34" s="57"/>
      <c r="E34" s="57"/>
      <c r="F34" s="57"/>
      <c r="G34" s="57"/>
      <c r="H34" s="57"/>
      <c r="I34" s="58"/>
      <c r="J34" s="58"/>
      <c r="K34" s="59"/>
      <c r="L34" s="59"/>
      <c r="M34" s="93">
        <f>IF(per&gt;1,L36*u," - ")</f>
        <v>175.4816449848804</v>
      </c>
      <c r="N34" s="94">
        <f>IF(per&gt;2,MAX(0,IF(o="c",N32-N$30,N$30-N32))," - ")</f>
        <v>63.88058411372194</v>
      </c>
      <c r="O34" s="60"/>
      <c r="P34" s="21"/>
      <c r="S34" s="23"/>
      <c r="T34" s="22" t="s">
        <v>6</v>
      </c>
      <c r="U34" s="20" t="s">
        <v>31</v>
      </c>
      <c r="V34" s="20"/>
      <c r="W34" s="20"/>
      <c r="X34" s="24"/>
      <c r="Y34" s="24"/>
      <c r="Z34" s="21"/>
    </row>
    <row r="35" spans="2:26" ht="12.75">
      <c r="B35" s="23"/>
      <c r="C35" s="53"/>
      <c r="D35" s="95" t="s">
        <v>58</v>
      </c>
      <c r="E35" s="58"/>
      <c r="F35" s="58"/>
      <c r="G35" s="58"/>
      <c r="H35" s="57"/>
      <c r="I35" s="58"/>
      <c r="J35" s="58"/>
      <c r="K35" s="59"/>
      <c r="L35" s="59"/>
      <c r="M35" s="13">
        <f>IF(per&gt;1,IF($G$17=1,M34*div*$G$17," - ")," - ")</f>
        <v>8.774082249244021</v>
      </c>
      <c r="N35" s="14">
        <f>IF(per&gt;2,IF(o="c",N32-N$30,N$30-N32)," - ")</f>
        <v>63.88058411372194</v>
      </c>
      <c r="O35" s="60"/>
      <c r="P35" s="21"/>
      <c r="S35" s="23"/>
      <c r="T35" s="20"/>
      <c r="U35" s="20"/>
      <c r="V35" s="20" t="s">
        <v>32</v>
      </c>
      <c r="W35" s="20"/>
      <c r="X35" s="75">
        <v>1</v>
      </c>
      <c r="Y35" s="24"/>
      <c r="Z35" s="21"/>
    </row>
    <row r="36" spans="2:26" ht="12.75">
      <c r="B36" s="23"/>
      <c r="C36" s="53"/>
      <c r="D36" s="58"/>
      <c r="E36" s="87" t="s">
        <v>59</v>
      </c>
      <c r="F36" s="58"/>
      <c r="G36" s="58"/>
      <c r="H36" s="57"/>
      <c r="I36" s="58"/>
      <c r="J36" s="58"/>
      <c r="K36" s="59"/>
      <c r="L36" s="92">
        <f>K38*u</f>
        <v>151.0384515546768</v>
      </c>
      <c r="M36" s="94">
        <f>IF(per&gt;1,IF(per&gt;2,MAX(((p*N34)+((1-p)*N38))/(1+rf),M37),MAX(IF(o="c",M34-M$30,M$30-M34),0))," - ")</f>
        <v>35.481644984880404</v>
      </c>
      <c r="N36" s="93">
        <f>IF(per&gt;2,M38*u," - ")</f>
        <v>151.0384515546768</v>
      </c>
      <c r="O36" s="60"/>
      <c r="P36" s="21"/>
      <c r="S36" s="23"/>
      <c r="T36" s="20"/>
      <c r="U36" s="20"/>
      <c r="V36" s="20"/>
      <c r="W36" s="20"/>
      <c r="X36" s="20"/>
      <c r="Y36" s="78"/>
      <c r="Z36" s="21"/>
    </row>
    <row r="37" spans="2:26" ht="12.75">
      <c r="B37" s="23"/>
      <c r="C37" s="53"/>
      <c r="D37" s="61" t="s">
        <v>60</v>
      </c>
      <c r="E37" s="62"/>
      <c r="F37" s="62"/>
      <c r="G37" s="62"/>
      <c r="H37" s="57"/>
      <c r="I37" s="58"/>
      <c r="J37" s="58"/>
      <c r="K37" s="59"/>
      <c r="L37" s="13">
        <f>IF($G$17=1,L36*div*$G$17," - ")</f>
        <v>7.551922577733841</v>
      </c>
      <c r="M37" s="14">
        <f>IF(per&gt;1,IF($G$14=1,IF(o="c",M34-M$30,M$30-M34)," - ")," - ")</f>
        <v>35.481644984880404</v>
      </c>
      <c r="N37" s="13">
        <f>IF(per&gt;2,IF($G$17=1,N36*div*$G$17," - ")," - ")</f>
        <v>7.551922577733841</v>
      </c>
      <c r="O37" s="60"/>
      <c r="P37" s="21"/>
      <c r="S37" s="23"/>
      <c r="T37" s="20"/>
      <c r="U37" s="22" t="s">
        <v>12</v>
      </c>
      <c r="V37" s="25" t="str">
        <f>IF(X26="u","d = ","u = ")</f>
        <v>d = </v>
      </c>
      <c r="W37" s="27">
        <f>1/X29</f>
        <v>0.8409721638213775</v>
      </c>
      <c r="X37" s="24"/>
      <c r="Y37" s="24"/>
      <c r="Z37" s="21"/>
    </row>
    <row r="38" spans="2:26" ht="12.75">
      <c r="B38" s="23"/>
      <c r="C38" s="53"/>
      <c r="D38" s="62"/>
      <c r="E38" s="62" t="str">
        <f>IF(G17=1,IF(o="c","Fluxo de caixa não capturado ","Fluxo de caixa realizado ")," - ")</f>
        <v>Fluxo de caixa não capturado </v>
      </c>
      <c r="F38" s="62"/>
      <c r="G38" s="62"/>
      <c r="H38" s="57"/>
      <c r="I38" s="58"/>
      <c r="J38" s="58"/>
      <c r="K38" s="92">
        <f>M7</f>
        <v>130</v>
      </c>
      <c r="L38" s="83">
        <f>IF(per&gt;1,MAX(((p*M36)+((1-p)*M40))/(1+rf),L39),MAX(IF(o="c",L36-L$30,L$30-L36),0))</f>
        <v>18.120213696390795</v>
      </c>
      <c r="M38" s="93">
        <f>IF(per&gt;1,L40*u," - ")</f>
        <v>130</v>
      </c>
      <c r="N38" s="15">
        <f>IF(per&gt;2,MAX(0,IF(o="c",N36-N$30,N$30-N36))," - ")</f>
        <v>11.038451554676811</v>
      </c>
      <c r="O38" s="60"/>
      <c r="P38" s="21"/>
      <c r="S38" s="23"/>
      <c r="T38" s="20"/>
      <c r="U38" s="20"/>
      <c r="V38" s="25" t="s">
        <v>33</v>
      </c>
      <c r="W38" s="27">
        <f>((LN(X29)^2)*X32)/X35</f>
        <v>0.08999130985738833</v>
      </c>
      <c r="X38" s="24"/>
      <c r="Y38" s="20"/>
      <c r="Z38" s="21"/>
    </row>
    <row r="39" spans="2:26" ht="12.75">
      <c r="B39" s="23"/>
      <c r="C39" s="53"/>
      <c r="D39" s="62"/>
      <c r="E39" s="62" t="str">
        <f>IF(G17=1,"por não exercer a opção em t = (i - 1)","")</f>
        <v>por não exercer a opção em t = (i - 1)</v>
      </c>
      <c r="F39" s="62"/>
      <c r="G39" s="62"/>
      <c r="H39" s="57"/>
      <c r="I39" s="58"/>
      <c r="J39" s="58"/>
      <c r="K39" s="13" t="s">
        <v>34</v>
      </c>
      <c r="L39" s="14">
        <f>IF($G$14=1,IF(o="c",L36-L$30,L$30-L36)," - ")</f>
        <v>11.038451554676811</v>
      </c>
      <c r="M39" s="13">
        <f>IF(per&gt;1,IF($G$17=1,M38*div*$G$17," - ")," - ")</f>
        <v>6.5</v>
      </c>
      <c r="N39" s="14">
        <f>IF(per&gt;2,IF(o="c",N36-N$30,N$30-N36)," - ")</f>
        <v>11.038451554676811</v>
      </c>
      <c r="O39" s="60"/>
      <c r="P39" s="21"/>
      <c r="S39" s="23"/>
      <c r="T39" s="32"/>
      <c r="U39" s="20"/>
      <c r="V39" s="25" t="s">
        <v>35</v>
      </c>
      <c r="W39" s="27">
        <f>W38^0.5</f>
        <v>0.2999855160793406</v>
      </c>
      <c r="X39" s="24"/>
      <c r="Y39" s="20"/>
      <c r="Z39" s="21"/>
    </row>
    <row r="40" spans="2:26" ht="12.75">
      <c r="B40" s="23"/>
      <c r="C40" s="53"/>
      <c r="D40" s="96" t="s">
        <v>61</v>
      </c>
      <c r="E40" s="63"/>
      <c r="F40" s="58"/>
      <c r="G40" s="58"/>
      <c r="H40" s="57"/>
      <c r="I40" s="58"/>
      <c r="J40" s="58"/>
      <c r="K40" s="83">
        <f>MAX(((p*L38)+((1-p)*L42))/(1+rf),K41)</f>
        <v>9.079255146933486</v>
      </c>
      <c r="L40" s="92">
        <f>K38*d</f>
        <v>111.89203693525752</v>
      </c>
      <c r="M40" s="94">
        <f>IF(per&gt;1,IF(per&gt;2,MAX(((p*N38)+((1-p)*N42))/(1+rf),M41),MAX(IF(o="c",M38-M$30,M$30-M38),0))," - ")</f>
        <v>4.862912612202268</v>
      </c>
      <c r="N40" s="93">
        <f>IF(per&gt;2,M42*u," - ")</f>
        <v>111.89203693525751</v>
      </c>
      <c r="O40" s="60"/>
      <c r="P40" s="21"/>
      <c r="S40" s="46"/>
      <c r="T40" s="79"/>
      <c r="U40" s="28"/>
      <c r="V40" s="28"/>
      <c r="W40" s="28"/>
      <c r="X40" s="28"/>
      <c r="Y40" s="28"/>
      <c r="Z40" s="29"/>
    </row>
    <row r="41" spans="2:26" ht="12.75">
      <c r="B41" s="23"/>
      <c r="C41" s="53"/>
      <c r="D41" s="63"/>
      <c r="E41" s="84" t="s">
        <v>62</v>
      </c>
      <c r="F41" s="58"/>
      <c r="G41" s="58"/>
      <c r="H41" s="57"/>
      <c r="I41" s="58"/>
      <c r="J41" s="58"/>
      <c r="K41" s="14">
        <f>IF($G$14=1,IF(o="c",K38-K$30,K$30-K38)," - ")</f>
        <v>-10</v>
      </c>
      <c r="L41" s="13">
        <f>IF($G$17=1,L40*div*$G$17," - ")</f>
        <v>5.594601846762877</v>
      </c>
      <c r="M41" s="14">
        <f>IF(per&gt;1,IF($G$14=1,IF(o="c",M38-M$30,M$30-M38)," - ")," - ")</f>
        <v>-10</v>
      </c>
      <c r="N41" s="13">
        <f>IF(per&gt;2,IF($G$17=1,N40*div*$G$17," - ")," - ")</f>
        <v>5.594601846762876</v>
      </c>
      <c r="O41" s="60"/>
      <c r="P41" s="21"/>
      <c r="T41" s="6"/>
      <c r="U41" s="5"/>
      <c r="V41" s="8"/>
      <c r="W41" s="9"/>
      <c r="X41" s="10"/>
      <c r="Y41" s="5"/>
      <c r="Z41" s="5"/>
    </row>
    <row r="42" spans="2:26" ht="12.75">
      <c r="B42" s="23"/>
      <c r="C42" s="53"/>
      <c r="D42" s="64" t="s">
        <v>63</v>
      </c>
      <c r="E42" s="65"/>
      <c r="F42" s="58"/>
      <c r="G42" s="58"/>
      <c r="H42" s="57"/>
      <c r="I42" s="57"/>
      <c r="J42" s="58"/>
      <c r="K42" s="59"/>
      <c r="L42" s="83">
        <f>IF(per&gt;1,MAX(((p*M40)+((1-p)*M44))/(1+rf),L43),MAX(IF(o="c",L40-L$30,L$30-L40),0))</f>
        <v>2.142322132482128</v>
      </c>
      <c r="M42" s="93">
        <f>IF(per&gt;1,L40*d," - ")</f>
        <v>96.30636868862332</v>
      </c>
      <c r="N42" s="94">
        <f>IF(per&gt;2,MAX(0,IF(o="c",N40-N$30,N$30-N40))," - ")</f>
        <v>0</v>
      </c>
      <c r="O42" s="60"/>
      <c r="P42" s="21"/>
      <c r="T42" s="7"/>
      <c r="U42" s="5"/>
      <c r="V42" s="5"/>
      <c r="W42" s="5"/>
      <c r="X42" s="5"/>
      <c r="Y42" s="5"/>
      <c r="Z42" s="5"/>
    </row>
    <row r="43" spans="2:26" ht="12.75">
      <c r="B43" s="23"/>
      <c r="C43" s="53"/>
      <c r="D43" s="65"/>
      <c r="E43" s="65" t="str">
        <f>IF($G$14=1,"Valor da opção se exercida em t(i)"," - ")</f>
        <v>Valor da opção se exercida em t(i)</v>
      </c>
      <c r="F43" s="58"/>
      <c r="G43" s="58"/>
      <c r="H43" s="57"/>
      <c r="I43" s="57"/>
      <c r="J43" s="58"/>
      <c r="K43" s="59"/>
      <c r="L43" s="14">
        <f>IF($G$14=1,IF(o="c",L40-L$30,L$30-L40)," - ")</f>
        <v>-28.107963064742478</v>
      </c>
      <c r="M43" s="13">
        <f>IF(per&gt;1,IF($G$17=1,M42*div*$G$17," - ")," - ")</f>
        <v>4.815318434431166</v>
      </c>
      <c r="N43" s="14">
        <f>IF(per&gt;2,IF(o="c",N40-N$30,N$30-N40)," - ")</f>
        <v>-28.107963064742492</v>
      </c>
      <c r="O43" s="60"/>
      <c r="P43" s="21"/>
      <c r="T43" s="11"/>
      <c r="U43" s="5"/>
      <c r="V43" s="5"/>
      <c r="W43" s="5"/>
      <c r="X43" s="12"/>
      <c r="Y43" s="5"/>
      <c r="Z43" s="5"/>
    </row>
    <row r="44" spans="2:26" ht="12.75">
      <c r="B44" s="23"/>
      <c r="C44" s="53"/>
      <c r="D44" s="58"/>
      <c r="E44" s="57"/>
      <c r="F44" s="57"/>
      <c r="G44" s="57"/>
      <c r="H44" s="57"/>
      <c r="I44" s="57"/>
      <c r="J44" s="58"/>
      <c r="K44" s="59"/>
      <c r="L44" s="59"/>
      <c r="M44" s="94">
        <f>IF(per&gt;1,IF(per&gt;2,MAX(((p*N42)+((1-p)*N46))/(1+rf),M45),MAX(IF(o="c",M42-M$30,M$30-M42),0))," - ")</f>
        <v>0</v>
      </c>
      <c r="N44" s="93">
        <f>IF(per&gt;2,M42*d," - ")</f>
        <v>82.89165971083052</v>
      </c>
      <c r="O44" s="60"/>
      <c r="P44" s="21"/>
      <c r="T44" s="5"/>
      <c r="U44" s="5"/>
      <c r="V44" s="5"/>
      <c r="W44" s="5"/>
      <c r="X44" s="5"/>
      <c r="Y44" s="5"/>
      <c r="Z44" s="5"/>
    </row>
    <row r="45" spans="2:26" ht="12.75">
      <c r="B45" s="23"/>
      <c r="C45" s="53"/>
      <c r="D45" s="87" t="s">
        <v>64</v>
      </c>
      <c r="E45" s="58"/>
      <c r="F45" s="58"/>
      <c r="G45" s="58"/>
      <c r="H45" s="58"/>
      <c r="I45" s="57"/>
      <c r="J45" s="58"/>
      <c r="K45" s="59"/>
      <c r="L45" s="59"/>
      <c r="M45" s="14">
        <f>IF(per&gt;1,IF($G$14=1,IF(o="c",M42-M$30,M$30-M42)," - ")," - ")</f>
        <v>-43.69363131137668</v>
      </c>
      <c r="N45" s="13">
        <f>IF(per&gt;2,IF($G$17=1,N44*div*$G$17," - ")," - ")</f>
        <v>4.144582985541526</v>
      </c>
      <c r="O45" s="60"/>
      <c r="P45" s="21"/>
      <c r="T45" s="5"/>
      <c r="U45" s="5"/>
      <c r="V45" s="5"/>
      <c r="W45" s="5"/>
      <c r="X45" s="5"/>
      <c r="Y45" s="10"/>
      <c r="Z45" s="5"/>
    </row>
    <row r="46" spans="2:26" ht="12.75">
      <c r="B46" s="23"/>
      <c r="C46" s="53"/>
      <c r="E46" s="88" t="s">
        <v>65</v>
      </c>
      <c r="F46" s="89">
        <f>K40</f>
        <v>9.079255146933486</v>
      </c>
      <c r="G46" s="57"/>
      <c r="H46" s="57"/>
      <c r="I46" s="57"/>
      <c r="J46" s="58"/>
      <c r="K46" s="59"/>
      <c r="L46" s="59"/>
      <c r="M46" s="59"/>
      <c r="N46" s="94">
        <f>IF(per&gt;2,MAX(0,IF(o="c",N44-N$30,N$30-N44))," - ")</f>
        <v>0</v>
      </c>
      <c r="O46" s="60"/>
      <c r="P46" s="21"/>
      <c r="T46" s="11"/>
      <c r="U46" s="5"/>
      <c r="V46" s="5"/>
      <c r="W46" s="5"/>
      <c r="X46" s="12"/>
      <c r="Y46" s="10"/>
      <c r="Z46" s="5"/>
    </row>
    <row r="47" spans="2:26" ht="12.75">
      <c r="B47" s="23"/>
      <c r="C47" s="53"/>
      <c r="D47" s="57"/>
      <c r="E47" s="88" t="s">
        <v>66</v>
      </c>
      <c r="F47" s="90" t="str">
        <f>IF($G$14=0," - ",IF(K40&gt;K41,"Espere e veja.","Exercer Já!"))</f>
        <v>Espere e veja.</v>
      </c>
      <c r="G47" s="57"/>
      <c r="H47" s="57"/>
      <c r="I47" s="57"/>
      <c r="J47" s="58"/>
      <c r="K47" s="59"/>
      <c r="L47" s="59"/>
      <c r="M47" s="59"/>
      <c r="N47" s="14">
        <f>IF(per&gt;2,IF(o="c",N44-N$30,N$30-N44)," - ")</f>
        <v>-57.108340289169476</v>
      </c>
      <c r="O47" s="60"/>
      <c r="P47" s="21"/>
      <c r="T47" s="5"/>
      <c r="U47" s="5"/>
      <c r="V47" s="5"/>
      <c r="W47" s="5"/>
      <c r="X47" s="5"/>
      <c r="Y47" s="10"/>
      <c r="Z47" s="5"/>
    </row>
    <row r="48" spans="2:26" ht="12.75">
      <c r="B48" s="23"/>
      <c r="C48" s="53"/>
      <c r="D48" s="57"/>
      <c r="E48" s="57"/>
      <c r="F48" s="57"/>
      <c r="G48" s="57"/>
      <c r="H48" s="57"/>
      <c r="I48" s="57"/>
      <c r="J48" s="58"/>
      <c r="K48" s="58"/>
      <c r="L48" s="58"/>
      <c r="M48" s="58"/>
      <c r="N48" s="58"/>
      <c r="O48" s="56"/>
      <c r="P48" s="21"/>
      <c r="T48" s="11"/>
      <c r="U48" s="5"/>
      <c r="V48" s="5"/>
      <c r="W48" s="5"/>
      <c r="X48" s="12"/>
      <c r="Y48" s="10"/>
      <c r="Z48" s="5"/>
    </row>
    <row r="49" spans="2:26" ht="12.75">
      <c r="B49" s="23"/>
      <c r="C49" s="53"/>
      <c r="D49" s="66" t="s">
        <v>67</v>
      </c>
      <c r="E49" s="55"/>
      <c r="F49" s="55"/>
      <c r="G49" s="55"/>
      <c r="H49" s="55"/>
      <c r="I49" s="55"/>
      <c r="J49" s="54"/>
      <c r="K49" s="42" t="s">
        <v>36</v>
      </c>
      <c r="L49" s="43" t="s">
        <v>37</v>
      </c>
      <c r="M49" s="44" t="str">
        <f>IF(per&gt;1,"t(2)"," - ")</f>
        <v>t(2)</v>
      </c>
      <c r="N49" s="45" t="str">
        <f>IF(per&gt;2,"t(3)"," - ")</f>
        <v>t(3)</v>
      </c>
      <c r="O49" s="56"/>
      <c r="P49" s="21"/>
      <c r="T49" s="5"/>
      <c r="U49" s="5"/>
      <c r="V49" s="5"/>
      <c r="W49" s="5"/>
      <c r="X49" s="5"/>
      <c r="Y49" s="10"/>
      <c r="Z49" s="5"/>
    </row>
    <row r="50" spans="2:26" ht="13.5" thickBot="1">
      <c r="B50" s="23"/>
      <c r="C50" s="67"/>
      <c r="D50" s="68"/>
      <c r="E50" s="68"/>
      <c r="F50" s="68"/>
      <c r="G50" s="68"/>
      <c r="H50" s="68"/>
      <c r="I50" s="68"/>
      <c r="J50" s="69"/>
      <c r="K50" s="69"/>
      <c r="L50" s="69"/>
      <c r="M50" s="69"/>
      <c r="N50" s="69"/>
      <c r="O50" s="70"/>
      <c r="P50" s="21"/>
      <c r="T50" s="11"/>
      <c r="U50" s="5"/>
      <c r="V50" s="5"/>
      <c r="W50" s="5"/>
      <c r="X50" s="12"/>
      <c r="Y50" s="10"/>
      <c r="Z50" s="5"/>
    </row>
    <row r="51" spans="2:26" ht="12.75">
      <c r="B51" s="46"/>
      <c r="C51" s="47"/>
      <c r="D51" s="48"/>
      <c r="E51" s="48"/>
      <c r="F51" s="48"/>
      <c r="G51" s="48"/>
      <c r="H51" s="48"/>
      <c r="I51" s="48"/>
      <c r="J51" s="28"/>
      <c r="K51" s="28"/>
      <c r="L51" s="28"/>
      <c r="M51" s="28"/>
      <c r="N51" s="28"/>
      <c r="O51" s="28"/>
      <c r="P51" s="29"/>
      <c r="T51" s="7"/>
      <c r="U51" s="5"/>
      <c r="V51" s="5"/>
      <c r="W51" s="5"/>
      <c r="X51" s="5"/>
      <c r="Y51" s="10"/>
      <c r="Z51" s="5"/>
    </row>
    <row r="52" spans="4:25" ht="12.75">
      <c r="D52" s="4"/>
      <c r="E52" s="4"/>
      <c r="F52" s="4"/>
      <c r="G52" s="4"/>
      <c r="H52" s="4"/>
      <c r="I52" s="4"/>
      <c r="T52" s="7"/>
      <c r="U52" s="11"/>
      <c r="V52" s="5"/>
      <c r="W52" s="5"/>
      <c r="X52" s="5"/>
      <c r="Y52" s="10"/>
    </row>
    <row r="53" spans="2:26" ht="12.75">
      <c r="B53" s="23"/>
      <c r="C53" s="2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31"/>
      <c r="Q53" s="16"/>
      <c r="R53" s="16"/>
      <c r="S53" s="18"/>
      <c r="T53" s="71"/>
      <c r="U53" s="17"/>
      <c r="V53" s="17"/>
      <c r="W53" s="17"/>
      <c r="X53" s="17"/>
      <c r="Y53" s="19"/>
      <c r="Z53" s="21"/>
    </row>
    <row r="54" spans="2:26" ht="12.75">
      <c r="B54" s="23"/>
      <c r="C54" s="17" t="s">
        <v>3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31"/>
      <c r="Q54" s="16"/>
      <c r="R54" s="16"/>
      <c r="S54" s="23"/>
      <c r="T54" s="41" t="s">
        <v>4</v>
      </c>
      <c r="U54" s="19"/>
      <c r="V54" s="19"/>
      <c r="W54" s="19"/>
      <c r="X54" s="19"/>
      <c r="Y54" s="19"/>
      <c r="Z54" s="21"/>
    </row>
    <row r="55" spans="2:26" ht="12.75">
      <c r="B55" s="23"/>
      <c r="C55" s="17" t="s">
        <v>5</v>
      </c>
      <c r="D55" s="17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31"/>
      <c r="Q55" s="16"/>
      <c r="R55" s="16"/>
      <c r="S55" s="23"/>
      <c r="T55" s="73"/>
      <c r="U55" s="20"/>
      <c r="V55" s="20"/>
      <c r="W55" s="20"/>
      <c r="X55" s="20"/>
      <c r="Y55" s="20"/>
      <c r="Z55" s="21"/>
    </row>
    <row r="56" spans="2:26" ht="12.75">
      <c r="B56" s="23"/>
      <c r="C56" s="17"/>
      <c r="D56" s="17"/>
      <c r="E56" s="17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31"/>
      <c r="Q56" s="16"/>
      <c r="R56" s="16"/>
      <c r="S56" s="23"/>
      <c r="T56" s="22" t="s">
        <v>6</v>
      </c>
      <c r="U56" s="20" t="s">
        <v>7</v>
      </c>
      <c r="V56" s="20"/>
      <c r="W56" s="20"/>
      <c r="X56" s="74">
        <v>0.05</v>
      </c>
      <c r="Y56" s="24"/>
      <c r="Z56" s="21"/>
    </row>
    <row r="57" spans="2:26" ht="12.75">
      <c r="B57" s="23"/>
      <c r="C57" s="17" t="s">
        <v>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31"/>
      <c r="Q57" s="16"/>
      <c r="R57" s="16"/>
      <c r="S57" s="23"/>
      <c r="T57" s="73"/>
      <c r="U57" s="20"/>
      <c r="V57" s="20"/>
      <c r="W57" s="20"/>
      <c r="X57" s="20"/>
      <c r="Y57" s="20"/>
      <c r="Z57" s="21"/>
    </row>
    <row r="58" spans="2:26" ht="12.75">
      <c r="B58" s="23"/>
      <c r="C58" s="17" t="s">
        <v>9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31"/>
      <c r="Q58" s="16"/>
      <c r="R58" s="16"/>
      <c r="S58" s="23"/>
      <c r="T58" s="22" t="s">
        <v>6</v>
      </c>
      <c r="U58" s="20" t="s">
        <v>10</v>
      </c>
      <c r="V58" s="20"/>
      <c r="W58" s="20"/>
      <c r="X58" s="75">
        <v>3</v>
      </c>
      <c r="Y58" s="19"/>
      <c r="Z58" s="21"/>
    </row>
    <row r="59" spans="2:26" ht="12.75">
      <c r="B59" s="23"/>
      <c r="C59" s="17" t="s">
        <v>11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31"/>
      <c r="Q59" s="16"/>
      <c r="R59" s="16"/>
      <c r="S59" s="23"/>
      <c r="T59" s="22"/>
      <c r="U59" s="20"/>
      <c r="V59" s="20"/>
      <c r="W59" s="20"/>
      <c r="X59" s="20"/>
      <c r="Y59" s="24"/>
      <c r="Z59" s="21"/>
    </row>
    <row r="60" spans="2:26" ht="12.75">
      <c r="B60" s="2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31"/>
      <c r="Q60" s="16"/>
      <c r="R60" s="16"/>
      <c r="S60" s="23"/>
      <c r="T60" s="22"/>
      <c r="U60" s="22" t="s">
        <v>12</v>
      </c>
      <c r="V60" s="20" t="s">
        <v>13</v>
      </c>
      <c r="W60" s="20"/>
      <c r="X60" s="76">
        <f>(1+X56)^(1/X58)-1</f>
        <v>0.01639635681485352</v>
      </c>
      <c r="Y60" s="20"/>
      <c r="Z60" s="21"/>
    </row>
    <row r="61" spans="3:7" ht="12.75">
      <c r="C61"/>
      <c r="D61" t="s">
        <v>38</v>
      </c>
      <c r="E61"/>
      <c r="F61"/>
      <c r="G61"/>
    </row>
    <row r="62" spans="3:7" ht="7.5" customHeight="1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  <row r="72" spans="3:7" ht="7.5" customHeight="1">
      <c r="C72"/>
      <c r="D72"/>
      <c r="E72"/>
      <c r="F72"/>
      <c r="G72"/>
    </row>
    <row r="73" spans="3:7" ht="12.75">
      <c r="C73"/>
      <c r="D73"/>
      <c r="E73"/>
      <c r="F73"/>
      <c r="G73"/>
    </row>
    <row r="74" spans="3:11" ht="12.75">
      <c r="C74"/>
      <c r="D74"/>
      <c r="E74"/>
      <c r="F74"/>
      <c r="G74"/>
      <c r="K74" s="3"/>
    </row>
    <row r="75" spans="3:7" ht="7.5" customHeight="1">
      <c r="C75"/>
      <c r="D75"/>
      <c r="E75"/>
      <c r="F75"/>
      <c r="G75"/>
    </row>
    <row r="76" spans="3:7" ht="12.75">
      <c r="C76"/>
      <c r="D76"/>
      <c r="E76"/>
      <c r="F76"/>
      <c r="G76"/>
    </row>
    <row r="77" spans="3:7" ht="12.75">
      <c r="C77"/>
      <c r="D77"/>
      <c r="E77"/>
      <c r="F77"/>
      <c r="G77"/>
    </row>
    <row r="78" spans="3:7" ht="7.5" customHeight="1">
      <c r="C78"/>
      <c r="D78"/>
      <c r="E78"/>
      <c r="F78"/>
      <c r="G78"/>
    </row>
    <row r="79" spans="3:7" ht="12.75">
      <c r="C79"/>
      <c r="D79"/>
      <c r="E79"/>
      <c r="F79"/>
      <c r="G79"/>
    </row>
    <row r="80" spans="3:7" ht="12.75">
      <c r="C80"/>
      <c r="D80"/>
      <c r="E80"/>
      <c r="F80"/>
      <c r="G80"/>
    </row>
    <row r="81" spans="3:7" ht="12.75">
      <c r="C81"/>
      <c r="D81"/>
      <c r="E81"/>
      <c r="F81"/>
      <c r="G81"/>
    </row>
    <row r="82" spans="3:7" ht="12.75">
      <c r="C82"/>
      <c r="D82"/>
      <c r="E82"/>
      <c r="F82"/>
      <c r="G82"/>
    </row>
    <row r="83" spans="3:7" ht="12.75">
      <c r="C83"/>
      <c r="D83"/>
      <c r="E83"/>
      <c r="F83"/>
      <c r="G83"/>
    </row>
    <row r="84" spans="3:8" ht="12.75">
      <c r="C84"/>
      <c r="D84"/>
      <c r="E84"/>
      <c r="F84"/>
      <c r="G84"/>
      <c r="H84" s="4"/>
    </row>
    <row r="85" spans="3:7" ht="12.75">
      <c r="C85"/>
      <c r="D85"/>
      <c r="E85"/>
      <c r="F85"/>
      <c r="G85"/>
    </row>
    <row r="86" spans="3:7" ht="12.75">
      <c r="C86"/>
      <c r="D86"/>
      <c r="E86"/>
      <c r="F86"/>
      <c r="G86"/>
    </row>
    <row r="87" spans="3:7" ht="12.75">
      <c r="C87"/>
      <c r="D87"/>
      <c r="E87"/>
      <c r="F87"/>
      <c r="G87"/>
    </row>
    <row r="88" spans="3:7" ht="12.75">
      <c r="C88"/>
      <c r="D88"/>
      <c r="E88"/>
      <c r="F88"/>
      <c r="G88"/>
    </row>
    <row r="89" spans="3:7" ht="12.75">
      <c r="C89"/>
      <c r="D89"/>
      <c r="E89"/>
      <c r="F89"/>
      <c r="G89"/>
    </row>
    <row r="90" spans="3:7" ht="12.75">
      <c r="C90"/>
      <c r="D90"/>
      <c r="E90"/>
      <c r="F90"/>
      <c r="G90"/>
    </row>
    <row r="91" spans="3:7" ht="7.5" customHeight="1">
      <c r="C91"/>
      <c r="D91"/>
      <c r="E91"/>
      <c r="F91"/>
      <c r="G91"/>
    </row>
    <row r="92" spans="3:7" ht="12.75">
      <c r="C92"/>
      <c r="D92"/>
      <c r="E92"/>
      <c r="F92"/>
      <c r="G92"/>
    </row>
    <row r="93" spans="3:7" ht="12.75">
      <c r="C93"/>
      <c r="D93"/>
      <c r="E93"/>
      <c r="F93"/>
      <c r="G93"/>
    </row>
    <row r="94" spans="3:7" ht="7.5" customHeight="1">
      <c r="C94"/>
      <c r="D94"/>
      <c r="E94"/>
      <c r="F94"/>
      <c r="G94"/>
    </row>
    <row r="95" spans="3:7" ht="12.75">
      <c r="C95"/>
      <c r="D95"/>
      <c r="E95"/>
      <c r="F95"/>
      <c r="G95"/>
    </row>
    <row r="96" spans="3:7" ht="7.5" customHeight="1">
      <c r="C96"/>
      <c r="D96"/>
      <c r="E96"/>
      <c r="F96"/>
      <c r="G96"/>
    </row>
    <row r="97" spans="3:7" ht="12.75">
      <c r="C97"/>
      <c r="D97"/>
      <c r="E97"/>
      <c r="F97"/>
      <c r="G97"/>
    </row>
    <row r="98" spans="3:7" ht="12.75">
      <c r="C98"/>
      <c r="D98"/>
      <c r="E98"/>
      <c r="F98"/>
      <c r="G98"/>
    </row>
    <row r="99" spans="3:7" ht="12.75">
      <c r="C99"/>
      <c r="D99"/>
      <c r="E99"/>
      <c r="F99"/>
      <c r="G99"/>
    </row>
    <row r="100" spans="3:7" ht="12.75">
      <c r="C100"/>
      <c r="D100"/>
      <c r="E100"/>
      <c r="F100"/>
      <c r="G100"/>
    </row>
    <row r="101" spans="3:7" ht="12.75">
      <c r="C101"/>
      <c r="D101"/>
      <c r="E101"/>
      <c r="F101"/>
      <c r="G101"/>
    </row>
    <row r="102" spans="3:7" ht="12.75">
      <c r="C102"/>
      <c r="D102"/>
      <c r="E102"/>
      <c r="F102"/>
      <c r="G102"/>
    </row>
    <row r="103" spans="3:7" ht="12.75">
      <c r="C103"/>
      <c r="D103"/>
      <c r="E103"/>
      <c r="F103"/>
      <c r="G103"/>
    </row>
    <row r="104" spans="3:7" ht="12.75">
      <c r="C104"/>
      <c r="D104"/>
      <c r="E104"/>
      <c r="F104"/>
      <c r="G104"/>
    </row>
    <row r="105" spans="3:7" ht="12.75">
      <c r="C105"/>
      <c r="D105"/>
      <c r="E105"/>
      <c r="F105"/>
      <c r="G105"/>
    </row>
    <row r="106" spans="3:7" ht="12.75">
      <c r="C106"/>
      <c r="D106"/>
      <c r="E106"/>
      <c r="F106"/>
      <c r="G106"/>
    </row>
    <row r="107" spans="3:7" ht="12.75">
      <c r="C107"/>
      <c r="D107"/>
      <c r="E107"/>
      <c r="F107"/>
      <c r="G107"/>
    </row>
    <row r="108" spans="3:7" ht="12.75">
      <c r="C108"/>
      <c r="D108"/>
      <c r="E108"/>
      <c r="F108"/>
      <c r="G108"/>
    </row>
    <row r="109" spans="3:7" ht="12.75">
      <c r="C109"/>
      <c r="D109"/>
      <c r="E109"/>
      <c r="F109"/>
      <c r="G109"/>
    </row>
    <row r="110" spans="3:7" ht="12.75">
      <c r="C110"/>
      <c r="D110"/>
      <c r="E110"/>
      <c r="F110"/>
      <c r="G110"/>
    </row>
    <row r="111" spans="3:8" ht="12.75">
      <c r="C111"/>
      <c r="D111"/>
      <c r="E111"/>
      <c r="F111"/>
      <c r="G111"/>
      <c r="H111" s="4"/>
    </row>
    <row r="113" ht="12.75">
      <c r="G113" s="4"/>
    </row>
  </sheetData>
  <printOptions/>
  <pageMargins left="0.1968503937007874" right="0.1968503937007874" top="0.7874015748031497" bottom="0.984251968503937" header="0.4921259845" footer="0.4921259845"/>
  <pageSetup orientation="portrait" paperSize="9" r:id="rId3"/>
  <headerFooter alignWithMargins="0">
    <oddHeader>&amp;C&amp;F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Antonio G. Dias</cp:lastModifiedBy>
  <dcterms:created xsi:type="dcterms:W3CDTF">1997-12-04T12:03:26Z</dcterms:created>
  <dcterms:modified xsi:type="dcterms:W3CDTF">2006-03-13T22:32:31Z</dcterms:modified>
  <cp:category/>
  <cp:version/>
  <cp:contentType/>
  <cp:contentStatus/>
</cp:coreProperties>
</file>