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108" windowWidth="9408" windowHeight="5136" activeTab="0"/>
  </bookViews>
  <sheets>
    <sheet name="Main" sheetId="1" r:id="rId1"/>
    <sheet name="option-table" sheetId="2" r:id="rId2"/>
    <sheet name="zoom_charts" sheetId="3" r:id="rId3"/>
    <sheet name="trees" sheetId="4" r:id="rId4"/>
  </sheets>
  <definedNames>
    <definedName name="A_invest_invest">'Main'!$L$11</definedName>
    <definedName name="A_invest_wait">'Main'!$I$11</definedName>
    <definedName name="A_wait_invest">'Main'!$L$8</definedName>
    <definedName name="A_wait_wait">'Main'!$I$8</definedName>
    <definedName name="alpha">'Main'!#REF!</definedName>
    <definedName name="B_">'Main'!$F$24</definedName>
    <definedName name="B_invest_invest">'Main'!$N$11</definedName>
    <definedName name="B_invest_wait">'Main'!$K$11</definedName>
    <definedName name="B_wait_invest">'Main'!$N$8</definedName>
    <definedName name="B_wait_wait">'Main'!$K$8</definedName>
    <definedName name="delta">'Main'!$B$37</definedName>
    <definedName name="deltaP">'option-table'!$B$2</definedName>
    <definedName name="deltaP_S">'option-table'!$S$2</definedName>
    <definedName name="E_option">'Main'!$Q$13</definedName>
    <definedName name="EMV">'Main'!$Q$14</definedName>
    <definedName name="EMV_neg">'Main'!$P$29</definedName>
    <definedName name="EMV_pos">'Main'!$P$28</definedName>
    <definedName name="Expect_HitTime_HQR">'Main'!#REF!</definedName>
    <definedName name="Expect_HitTime_MC">'Main'!#REF!</definedName>
    <definedName name="FC_neg">'Main'!$L$29</definedName>
    <definedName name="FC_pos">'Main'!$L$28</definedName>
    <definedName name="FC0">'Main'!$B$20</definedName>
    <definedName name="Fdp">'Main'!$B$22</definedName>
    <definedName name="Finish_time">'Main'!#REF!</definedName>
    <definedName name="Finish_time2">'Main'!#REF!</definedName>
    <definedName name="ganho_atrito">'option-table'!$L$1</definedName>
    <definedName name="Idp">'Main'!$F$21</definedName>
    <definedName name="inf_option">'Main'!$Q$34</definedName>
    <definedName name="Inv">'Main'!$B$28</definedName>
    <definedName name="leader_share">'Main'!$R$27</definedName>
    <definedName name="months">'Main'!$E$33</definedName>
    <definedName name="N_tsteps">'Main'!$W$30</definedName>
    <definedName name="NPV_dp">'Main'!$F$22</definedName>
    <definedName name="Nsimul">'Main'!#REF!</definedName>
    <definedName name="Op_neg">'Main'!$L$32</definedName>
    <definedName name="Op_pos">'Main'!$L$31</definedName>
    <definedName name="P_">'Main'!$F$23</definedName>
    <definedName name="P_thres_E">'Main'!$F$26</definedName>
    <definedName name="P_thres_S">'Main'!$Q$16</definedName>
    <definedName name="ProbExerciseHQR">'Main'!#REF!</definedName>
    <definedName name="ProbExerciseMC">'Main'!#REF!</definedName>
    <definedName name="q_">'Main'!$C$24</definedName>
    <definedName name="r_">'Main'!$B$35</definedName>
    <definedName name="Red_Var">'Main'!$L$26</definedName>
    <definedName name="sigma">'Main'!$B$31</definedName>
    <definedName name="sinal_pos">'Main'!$L$21</definedName>
    <definedName name="start_time">'Main'!#REF!</definedName>
    <definedName name="start_time2">'Main'!#REF!</definedName>
    <definedName name="time_step">'option-table'!$AA$3</definedName>
    <definedName name="tR_">'Main'!$F$28</definedName>
    <definedName name="V0">'Main'!$B$26</definedName>
    <definedName name="Var_prior">'Main'!$Q$21</definedName>
    <definedName name="Vdp">'Main'!$F$20</definedName>
    <definedName name="wait_cost">'Main'!$Q$6</definedName>
    <definedName name="years">'Main'!$B$33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Marco</author>
    <author>Marco Antonio G. Dias</author>
    <author>E&amp;P-CORP</author>
  </authors>
  <commentList>
    <comment ref="E37" authorId="0">
      <text>
        <r>
          <rPr>
            <sz val="8"/>
            <rFont val="Tahoma"/>
            <family val="0"/>
          </rPr>
          <t>Marco A. G. Dias:
All rights reserved</t>
        </r>
      </text>
    </comment>
    <comment ref="A28" authorId="1">
      <text>
        <r>
          <rPr>
            <b/>
            <sz val="8"/>
            <rFont val="Tahoma"/>
            <family val="0"/>
          </rPr>
          <t>Marco:</t>
        </r>
        <r>
          <rPr>
            <sz val="8"/>
            <rFont val="Tahoma"/>
            <family val="0"/>
          </rPr>
          <t xml:space="preserve">
Para simplificar, estou aqui assumindo que a perfuração é instantânea.</t>
        </r>
      </text>
    </comment>
    <comment ref="A30" authorId="1">
      <text>
        <r>
          <rPr>
            <b/>
            <sz val="8"/>
            <rFont val="Tahoma"/>
            <family val="0"/>
          </rPr>
          <t>Marco:</t>
        </r>
        <r>
          <rPr>
            <sz val="8"/>
            <rFont val="Tahoma"/>
            <family val="0"/>
          </rPr>
          <t xml:space="preserve">
Aqui tem uma simplificação pois a volatilidade é a mesma para Vdp e E[V]</t>
        </r>
      </text>
    </comment>
    <comment ref="A1" authorId="1">
      <text>
        <r>
          <rPr>
            <b/>
            <sz val="8"/>
            <rFont val="Tahoma"/>
            <family val="0"/>
          </rPr>
          <t>Marco:</t>
        </r>
        <r>
          <rPr>
            <sz val="8"/>
            <rFont val="Tahoma"/>
            <family val="0"/>
          </rPr>
          <t xml:space="preserve">
Adaptando uma idéia do livro "Strategy: Options and Games" por Smit &amp; Trigeorgis (2004).</t>
        </r>
      </text>
    </comment>
    <comment ref="K21" authorId="1">
      <text>
        <r>
          <rPr>
            <b/>
            <sz val="8"/>
            <rFont val="Tahoma"/>
            <family val="0"/>
          </rPr>
          <t>Marco:</t>
        </r>
        <r>
          <rPr>
            <sz val="8"/>
            <rFont val="Tahoma"/>
            <family val="0"/>
          </rPr>
          <t xml:space="preserve">
I assume the chance factors exchangeable Bernoulli variables. So, the probability of a positive signal is equal to FC0.</t>
        </r>
      </text>
    </comment>
    <comment ref="A22" authorId="1">
      <text>
        <r>
          <rPr>
            <b/>
            <sz val="8"/>
            <rFont val="Tahoma"/>
            <family val="0"/>
          </rPr>
          <t>Marco:</t>
        </r>
        <r>
          <rPr>
            <sz val="8"/>
            <rFont val="Tahoma"/>
            <family val="0"/>
          </rPr>
          <t xml:space="preserve">
Opção de desenvolvimento da produção em caso de descoberta</t>
        </r>
      </text>
    </comment>
    <comment ref="L32" authorId="2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When this option is (also) deep-in-the-money, the simultaneous exercise in war of attrition always is optimal because is optimal to exercise the option for any revealed scenary.</t>
        </r>
      </text>
    </comment>
    <comment ref="E20" authorId="2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Atualizado para a data da descoberta.</t>
        </r>
      </text>
    </comment>
    <comment ref="E21" authorId="2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Atualizado para a data da descoberta.</t>
        </r>
      </text>
    </comment>
    <comment ref="A37" authorId="2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Equal to both options (exploratory and development) only if development option is deep-in-the-money option.
On the contrary, delta = 0 for the exploratory option.</t>
        </r>
      </text>
    </comment>
    <comment ref="F20" authorId="2">
      <text>
        <r>
          <rPr>
            <b/>
            <sz val="8"/>
            <rFont val="Tahoma"/>
            <family val="0"/>
          </rPr>
          <t>Marco A.G. Dias:</t>
        </r>
        <r>
          <rPr>
            <sz val="8"/>
            <rFont val="Tahoma"/>
            <family val="0"/>
          </rPr>
          <t xml:space="preserve">
I use the discount factor EXP(-(delta/100)*2) for two years, because after a wildcat sucess there is a gap of ~ two years to appraisal phase and to study the best development alternative.</t>
        </r>
      </text>
    </comment>
    <comment ref="F21" authorId="2">
      <text>
        <r>
          <rPr>
            <b/>
            <sz val="8"/>
            <rFont val="Tahoma"/>
            <family val="0"/>
          </rPr>
          <t>Marco A. G. Dias:</t>
        </r>
        <r>
          <rPr>
            <sz val="8"/>
            <rFont val="Tahoma"/>
            <family val="0"/>
          </rPr>
          <t xml:space="preserve">
I use the discount factor EXP(-(r/100)*2) for  two years, because after a wildcat sucess there is a gap of ~ two years to appraisal phase and to study the best development alternative.</t>
        </r>
      </text>
    </comment>
    <comment ref="P14" authorId="2">
      <text>
        <r>
          <rPr>
            <b/>
            <sz val="8"/>
            <rFont val="Tahoma"/>
            <family val="0"/>
          </rPr>
          <t>Marco A. G. Dias:</t>
        </r>
        <r>
          <rPr>
            <sz val="8"/>
            <rFont val="Tahoma"/>
            <family val="0"/>
          </rPr>
          <t xml:space="preserve">
Payoff from the exploratory option exercise.</t>
        </r>
      </text>
    </comment>
    <comment ref="P16" authorId="2">
      <text>
        <r>
          <rPr>
            <b/>
            <sz val="8"/>
            <rFont val="Tahoma"/>
            <family val="0"/>
          </rPr>
          <t>Marco A. G. Dias:</t>
        </r>
        <r>
          <rPr>
            <sz val="8"/>
            <rFont val="Tahoma"/>
            <family val="0"/>
          </rPr>
          <t xml:space="preserve">
It is a P so that informed follower(P) = simultaneous = leader(P) = EMV(P)</t>
        </r>
      </text>
    </comment>
    <comment ref="P13" authorId="2">
      <text>
        <r>
          <rPr>
            <b/>
            <sz val="8"/>
            <rFont val="Tahoma"/>
            <family val="0"/>
          </rPr>
          <t>Marco A.G. Dias:</t>
        </r>
        <r>
          <rPr>
            <sz val="8"/>
            <rFont val="Tahoma"/>
            <family val="0"/>
          </rPr>
          <t xml:space="preserve">
This traditional real option value is the option to become leader.</t>
        </r>
      </text>
    </comment>
    <comment ref="K26" authorId="3">
      <text>
        <r>
          <rPr>
            <b/>
            <sz val="8"/>
            <rFont val="Tahoma"/>
            <family val="0"/>
          </rPr>
          <t>E&amp;P-CORP:</t>
        </r>
        <r>
          <rPr>
            <sz val="8"/>
            <rFont val="Tahoma"/>
            <family val="0"/>
          </rPr>
          <t xml:space="preserve">
Expected Variance reduction (in %)</t>
        </r>
      </text>
    </comment>
  </commentList>
</comments>
</file>

<file path=xl/comments2.xml><?xml version="1.0" encoding="utf-8"?>
<comments xmlns="http://schemas.openxmlformats.org/spreadsheetml/2006/main">
  <authors>
    <author>Marco Antonio G. Dias</author>
  </authors>
  <commentList>
    <comment ref="I3" authorId="0">
      <text>
        <r>
          <rPr>
            <b/>
            <sz val="8"/>
            <rFont val="Tahoma"/>
            <family val="0"/>
          </rPr>
          <t>Marco A.G. Dias:</t>
        </r>
        <r>
          <rPr>
            <sz val="8"/>
            <rFont val="Tahoma"/>
            <family val="0"/>
          </rPr>
          <t xml:space="preserve">
This traditional real option value is the option to become leader.</t>
        </r>
      </text>
    </comment>
  </commentList>
</comments>
</file>

<file path=xl/sharedStrings.xml><?xml version="1.0" encoding="utf-8"?>
<sst xmlns="http://schemas.openxmlformats.org/spreadsheetml/2006/main" count="143" uniqueCount="127">
  <si>
    <t>s =</t>
  </si>
  <si>
    <t xml:space="preserve">t = </t>
  </si>
  <si>
    <t xml:space="preserve">r = </t>
  </si>
  <si>
    <t xml:space="preserve">d = </t>
  </si>
  <si>
    <r>
      <t>V</t>
    </r>
    <r>
      <rPr>
        <b/>
        <vertAlign val="subscript"/>
        <sz val="10"/>
        <rFont val="Times New Roman"/>
        <family val="0"/>
      </rPr>
      <t>i</t>
    </r>
    <r>
      <rPr>
        <b/>
        <sz val="10"/>
        <rFont val="Times New Roman"/>
        <family val="1"/>
      </rPr>
      <t>/I</t>
    </r>
    <r>
      <rPr>
        <b/>
        <vertAlign val="subscript"/>
        <sz val="10"/>
        <rFont val="Times New Roman"/>
        <family val="1"/>
      </rPr>
      <t>i</t>
    </r>
  </si>
  <si>
    <r>
      <t xml:space="preserve"> F</t>
    </r>
    <r>
      <rPr>
        <b/>
        <sz val="10"/>
        <rFont val="Times New Roman"/>
        <family val="1"/>
      </rPr>
      <t>/I</t>
    </r>
  </si>
  <si>
    <t xml:space="preserve"> Max. (NPV, 0)/I </t>
  </si>
  <si>
    <r>
      <t>V</t>
    </r>
    <r>
      <rPr>
        <b/>
        <vertAlign val="subscript"/>
        <sz val="10"/>
        <rFont val="Times New Roman"/>
        <family val="0"/>
      </rPr>
      <t>i</t>
    </r>
    <r>
      <rPr>
        <b/>
        <sz val="10"/>
        <rFont val="Times New Roman"/>
        <family val="1"/>
      </rPr>
      <t>/I</t>
    </r>
  </si>
  <si>
    <t>Table Real Option x Project Value</t>
  </si>
  <si>
    <t xml:space="preserve">, </t>
  </si>
  <si>
    <t>$ milhões</t>
  </si>
  <si>
    <t>$/unidade de produto</t>
  </si>
  <si>
    <t>E[V]  =</t>
  </si>
  <si>
    <t>Iw  =</t>
  </si>
  <si>
    <t xml:space="preserve">% </t>
  </si>
  <si>
    <t xml:space="preserve"> a priori = </t>
  </si>
  <si>
    <t xml:space="preserve">Razão Opção sem informação x Opção com informação = </t>
  </si>
  <si>
    <t>Sem sinal externo (se perfurar)</t>
  </si>
  <si>
    <t>Com sinal externo (sísmica, poço vizinho)</t>
  </si>
  <si>
    <r>
      <t>FC</t>
    </r>
    <r>
      <rPr>
        <b/>
        <vertAlign val="subscript"/>
        <sz val="10"/>
        <color indexed="12"/>
        <rFont val="Arial"/>
        <family val="2"/>
      </rPr>
      <t>0</t>
    </r>
  </si>
  <si>
    <r>
      <t>FC</t>
    </r>
    <r>
      <rPr>
        <b/>
        <vertAlign val="subscript"/>
        <sz val="10"/>
        <color indexed="10"/>
        <rFont val="Arial"/>
        <family val="2"/>
      </rPr>
      <t>0</t>
    </r>
  </si>
  <si>
    <r>
      <t xml:space="preserve">FC </t>
    </r>
    <r>
      <rPr>
        <b/>
        <vertAlign val="superscript"/>
        <sz val="10"/>
        <color indexed="10"/>
        <rFont val="Arial"/>
        <family val="2"/>
      </rPr>
      <t>+</t>
    </r>
  </si>
  <si>
    <r>
      <t xml:space="preserve">FC </t>
    </r>
    <r>
      <rPr>
        <b/>
        <vertAlign val="superscript"/>
        <sz val="10"/>
        <color indexed="10"/>
        <rFont val="Symbol"/>
        <family val="1"/>
      </rPr>
      <t>-</t>
    </r>
  </si>
  <si>
    <t>leader</t>
  </si>
  <si>
    <t>follower</t>
  </si>
  <si>
    <t>Wait</t>
  </si>
  <si>
    <t>Invest</t>
  </si>
  <si>
    <t>Convention:</t>
  </si>
  <si>
    <t xml:space="preserve"> = Nash Equilibrium</t>
  </si>
  <si>
    <t xml:space="preserve"> Max. (EMV, 0)</t>
  </si>
  <si>
    <t>Leader</t>
  </si>
  <si>
    <t>1a) Exchangeable Information Revelation</t>
  </si>
  <si>
    <t xml:space="preserve">Simultaneous   </t>
  </si>
  <si>
    <t>War of Attrition:</t>
  </si>
  <si>
    <r>
      <t>F</t>
    </r>
    <r>
      <rPr>
        <b/>
        <vertAlign val="subscript"/>
        <sz val="10"/>
        <color indexed="12"/>
        <rFont val="Arial"/>
        <family val="2"/>
      </rPr>
      <t>i</t>
    </r>
    <r>
      <rPr>
        <b/>
        <sz val="10"/>
        <color indexed="12"/>
        <rFont val="Arial"/>
        <family val="2"/>
      </rPr>
      <t>(t) &gt; L</t>
    </r>
    <r>
      <rPr>
        <b/>
        <vertAlign val="subscript"/>
        <sz val="10"/>
        <color indexed="12"/>
        <rFont val="Arial"/>
        <family val="2"/>
      </rPr>
      <t>i</t>
    </r>
    <r>
      <rPr>
        <b/>
        <sz val="10"/>
        <color indexed="12"/>
        <rFont val="Arial"/>
        <family val="2"/>
      </rPr>
      <t>(t);  F</t>
    </r>
    <r>
      <rPr>
        <b/>
        <vertAlign val="subscript"/>
        <sz val="10"/>
        <color indexed="12"/>
        <rFont val="Arial"/>
        <family val="2"/>
      </rPr>
      <t>i</t>
    </r>
    <r>
      <rPr>
        <b/>
        <sz val="10"/>
        <color indexed="12"/>
        <rFont val="Arial"/>
        <family val="2"/>
      </rPr>
      <t>(t) &gt; S</t>
    </r>
    <r>
      <rPr>
        <b/>
        <vertAlign val="subscript"/>
        <sz val="10"/>
        <color indexed="12"/>
        <rFont val="Arial"/>
        <family val="2"/>
      </rPr>
      <t>i</t>
    </r>
    <r>
      <rPr>
        <b/>
        <sz val="10"/>
        <color indexed="12"/>
        <rFont val="Arial"/>
        <family val="2"/>
      </rPr>
      <t>(t); L</t>
    </r>
    <r>
      <rPr>
        <b/>
        <vertAlign val="subscript"/>
        <sz val="10"/>
        <color indexed="12"/>
        <rFont val="Arial"/>
        <family val="2"/>
      </rPr>
      <t>i</t>
    </r>
    <r>
      <rPr>
        <b/>
        <sz val="10"/>
        <color indexed="12"/>
        <rFont val="Arial"/>
        <family val="2"/>
      </rPr>
      <t>(t) decreasing with t</t>
    </r>
  </si>
  <si>
    <r>
      <t>E[V with_inf</t>
    </r>
    <r>
      <rPr>
        <vertAlign val="superscript"/>
        <sz val="10"/>
        <rFont val="Symbol"/>
        <family val="1"/>
      </rPr>
      <t xml:space="preserve"> </t>
    </r>
    <r>
      <rPr>
        <sz val="10"/>
        <rFont val="Times New Roman"/>
        <family val="0"/>
      </rPr>
      <t>]  =</t>
    </r>
  </si>
  <si>
    <t xml:space="preserve">Gain with Information = </t>
  </si>
  <si>
    <t xml:space="preserve">E[EMV] = </t>
  </si>
  <si>
    <t xml:space="preserve">Premium = </t>
  </si>
  <si>
    <t xml:space="preserve">E[Option | inform] = </t>
  </si>
  <si>
    <t xml:space="preserve">Square root of EVR = </t>
  </si>
  <si>
    <r>
      <t xml:space="preserve"> </t>
    </r>
    <r>
      <rPr>
        <b/>
        <u val="single"/>
        <sz val="12"/>
        <color indexed="10"/>
        <rFont val="Arial"/>
        <family val="2"/>
      </rPr>
      <t>Symmetric War of Attrition with Options Example</t>
    </r>
  </si>
  <si>
    <t>Tempo de doutorado</t>
  </si>
  <si>
    <t xml:space="preserve">Março 2000 a Junho 2003: 2/5  </t>
  </si>
  <si>
    <t xml:space="preserve">Julho 2003 a Julho 2004: 4/5   </t>
  </si>
  <si>
    <t>Proposta:</t>
  </si>
  <si>
    <t>2 dias por semana a partir de junho e defesa final de dezembro:</t>
  </si>
  <si>
    <t xml:space="preserve">Julho 2003 a Maio 2004: 4/5   </t>
  </si>
  <si>
    <t>Junho 2004 a Dezembro 2004: 3/5</t>
  </si>
  <si>
    <t xml:space="preserve">Oil Price = </t>
  </si>
  <si>
    <t xml:space="preserve"> $/bbl</t>
  </si>
  <si>
    <t>years</t>
  </si>
  <si>
    <t xml:space="preserve">Reserve econ. quality q =  </t>
  </si>
  <si>
    <t xml:space="preserve">Reserve Volume B =  </t>
  </si>
  <si>
    <t xml:space="preserve"> million bbl</t>
  </si>
  <si>
    <t xml:space="preserve">Threshold P** = </t>
  </si>
  <si>
    <r>
      <t xml:space="preserve">EMV </t>
    </r>
    <r>
      <rPr>
        <vertAlign val="superscript"/>
        <sz val="10"/>
        <rFont val="Symbol"/>
        <family val="1"/>
      </rPr>
      <t xml:space="preserve">+ </t>
    </r>
    <r>
      <rPr>
        <b/>
        <sz val="10"/>
        <rFont val="Times New Roman"/>
        <family val="0"/>
      </rPr>
      <t xml:space="preserve">  =</t>
    </r>
  </si>
  <si>
    <r>
      <t xml:space="preserve">EMV </t>
    </r>
    <r>
      <rPr>
        <vertAlign val="superscript"/>
        <sz val="10"/>
        <rFont val="Symbol"/>
        <family val="1"/>
      </rPr>
      <t xml:space="preserve">- </t>
    </r>
    <r>
      <rPr>
        <b/>
        <sz val="10"/>
        <rFont val="Times New Roman"/>
        <family val="0"/>
      </rPr>
      <t xml:space="preserve">  =</t>
    </r>
  </si>
  <si>
    <t>Thresholds P**</t>
  </si>
  <si>
    <t>Without Information Revelation</t>
  </si>
  <si>
    <t xml:space="preserve">Exploratory Option Value = </t>
  </si>
  <si>
    <t xml:space="preserve">EMV(with dev. option) = </t>
  </si>
  <si>
    <t>Nash Equilibrium?</t>
  </si>
  <si>
    <t>With Information Revelation</t>
  </si>
  <si>
    <r>
      <t>Penalized with t</t>
    </r>
    <r>
      <rPr>
        <vertAlign val="subscript"/>
        <sz val="9"/>
        <color indexed="12"/>
        <rFont val="Arial"/>
        <family val="2"/>
      </rPr>
      <t>R</t>
    </r>
    <r>
      <rPr>
        <sz val="9"/>
        <color indexed="12"/>
        <rFont val="Arial"/>
        <family val="2"/>
      </rPr>
      <t xml:space="preserve">, E[Opt | inf] = </t>
    </r>
  </si>
  <si>
    <t>Fighting Cost: Cost to wait one month more</t>
  </si>
  <si>
    <r>
      <t>Cost</t>
    </r>
    <r>
      <rPr>
        <vertAlign val="subscript"/>
        <sz val="10"/>
        <color indexed="12"/>
        <rFont val="Arial"/>
        <family val="2"/>
      </rPr>
      <t>wait</t>
    </r>
    <r>
      <rPr>
        <sz val="10"/>
        <color indexed="12"/>
        <rFont val="Arial"/>
        <family val="2"/>
      </rPr>
      <t xml:space="preserve"> = </t>
    </r>
  </si>
  <si>
    <t xml:space="preserve">Simultaneous Threshold P*** = </t>
  </si>
  <si>
    <r>
      <t>D</t>
    </r>
    <r>
      <rPr>
        <b/>
        <sz val="10"/>
        <rFont val="Arial"/>
        <family val="2"/>
      </rPr>
      <t xml:space="preserve">P = </t>
    </r>
  </si>
  <si>
    <r>
      <t>P</t>
    </r>
    <r>
      <rPr>
        <b/>
        <vertAlign val="subscript"/>
        <sz val="10"/>
        <color indexed="12"/>
        <rFont val="Times New Roman"/>
        <family val="1"/>
      </rPr>
      <t>i</t>
    </r>
  </si>
  <si>
    <t>Follower</t>
  </si>
  <si>
    <t>Exploratory Option</t>
  </si>
  <si>
    <t xml:space="preserve"> %</t>
  </si>
  <si>
    <t>The Zoom Charts</t>
  </si>
  <si>
    <t xml:space="preserve"> Expected Variance Reduction</t>
  </si>
  <si>
    <t xml:space="preserve"> Information Revelation Variable:</t>
  </si>
  <si>
    <r>
      <t>Threshold for Simultaneous Exercise (P</t>
    </r>
    <r>
      <rPr>
        <b/>
        <vertAlign val="subscript"/>
        <sz val="10"/>
        <color indexed="10"/>
        <rFont val="Arial"/>
        <family val="2"/>
      </rPr>
      <t>S</t>
    </r>
    <r>
      <rPr>
        <b/>
        <sz val="10"/>
        <color indexed="10"/>
        <rFont val="Arial"/>
        <family val="2"/>
      </rPr>
      <t>)</t>
    </r>
  </si>
  <si>
    <r>
      <t>D</t>
    </r>
    <r>
      <rPr>
        <b/>
        <sz val="10"/>
        <rFont val="Arial"/>
        <family val="2"/>
      </rPr>
      <t>P</t>
    </r>
    <r>
      <rPr>
        <b/>
        <sz val="10"/>
        <rFont val="Arial"/>
        <family val="2"/>
      </rPr>
      <t xml:space="preserve"> = </t>
    </r>
  </si>
  <si>
    <t>Difference F - L</t>
  </si>
  <si>
    <t>no</t>
  </si>
  <si>
    <t>Position</t>
  </si>
  <si>
    <t>Simultaneous Threshold Calculus</t>
  </si>
  <si>
    <t>P</t>
  </si>
  <si>
    <r>
      <t xml:space="preserve">F </t>
    </r>
    <r>
      <rPr>
        <b/>
        <sz val="10"/>
        <rFont val="Symbol"/>
        <family val="1"/>
      </rPr>
      <t>-</t>
    </r>
    <r>
      <rPr>
        <b/>
        <sz val="10"/>
        <rFont val="Arial"/>
        <family val="0"/>
      </rPr>
      <t xml:space="preserve"> L </t>
    </r>
  </si>
  <si>
    <t>Linear Interpolation</t>
  </si>
  <si>
    <r>
      <t>P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= </t>
    </r>
  </si>
  <si>
    <t>US$/bbl</t>
  </si>
  <si>
    <t xml:space="preserve"> US$/bbl</t>
  </si>
  <si>
    <t>Firm i</t>
  </si>
  <si>
    <t>Firm j</t>
  </si>
  <si>
    <t>1) Initial Chance Factor and Development Option (without information revelation)</t>
  </si>
  <si>
    <r>
      <t>CF</t>
    </r>
    <r>
      <rPr>
        <b/>
        <vertAlign val="subscript"/>
        <sz val="10"/>
        <rFont val="Times New Roman"/>
        <family val="1"/>
      </rPr>
      <t>0</t>
    </r>
    <r>
      <rPr>
        <b/>
        <sz val="10"/>
        <rFont val="Times New Roman"/>
        <family val="0"/>
      </rPr>
      <t xml:space="preserve"> = </t>
    </r>
  </si>
  <si>
    <r>
      <t>E[V</t>
    </r>
    <r>
      <rPr>
        <b/>
        <vertAlign val="subscript"/>
        <sz val="10"/>
        <rFont val="Arial"/>
        <family val="2"/>
      </rPr>
      <t>DP</t>
    </r>
    <r>
      <rPr>
        <b/>
        <sz val="10"/>
        <rFont val="Arial"/>
        <family val="2"/>
      </rPr>
      <t xml:space="preserve"> | success] = </t>
    </r>
  </si>
  <si>
    <r>
      <t>E[ I</t>
    </r>
    <r>
      <rPr>
        <b/>
        <vertAlign val="subscript"/>
        <sz val="10"/>
        <rFont val="Arial"/>
        <family val="2"/>
      </rPr>
      <t>DP</t>
    </r>
    <r>
      <rPr>
        <b/>
        <sz val="10"/>
        <rFont val="Arial"/>
        <family val="2"/>
      </rPr>
      <t xml:space="preserve"> | success] = </t>
    </r>
  </si>
  <si>
    <r>
      <t>So, E[ NPV</t>
    </r>
    <r>
      <rPr>
        <b/>
        <vertAlign val="subscript"/>
        <sz val="9"/>
        <rFont val="Times New Roman"/>
        <family val="1"/>
      </rPr>
      <t>DP</t>
    </r>
    <r>
      <rPr>
        <b/>
        <sz val="9"/>
        <rFont val="Times New Roman"/>
        <family val="1"/>
      </rPr>
      <t xml:space="preserve"> | success] = </t>
    </r>
  </si>
  <si>
    <r>
      <t>1) Expected Benefit Value E[V] = CF</t>
    </r>
    <r>
      <rPr>
        <b/>
        <vertAlign val="subscript"/>
        <sz val="10"/>
        <rFont val="Times New Roman"/>
        <family val="1"/>
      </rPr>
      <t>0</t>
    </r>
    <r>
      <rPr>
        <b/>
        <sz val="10"/>
        <rFont val="Times New Roman"/>
        <family val="0"/>
      </rPr>
      <t xml:space="preserve"> x Development Option</t>
    </r>
  </si>
  <si>
    <t>2) Investment in Wildcat Drilling</t>
  </si>
  <si>
    <t xml:space="preserve">Probability of </t>
  </si>
  <si>
    <t xml:space="preserve">signal  +  = </t>
  </si>
  <si>
    <t xml:space="preserve">Variance </t>
  </si>
  <si>
    <t xml:space="preserve">EVR = </t>
  </si>
  <si>
    <t>Revelation Scenarios</t>
  </si>
  <si>
    <t xml:space="preserve">3) Oil Price Volatility </t>
  </si>
  <si>
    <t>4) Time to Expiration</t>
  </si>
  <si>
    <t>5) Risk-Free Interest Rates</t>
  </si>
  <si>
    <t>% per annum</t>
  </si>
  <si>
    <t xml:space="preserve">years  + </t>
  </si>
  <si>
    <t xml:space="preserve">              months</t>
  </si>
  <si>
    <t>% p.ª</t>
  </si>
  <si>
    <t>6) Oil Convenience Yield</t>
  </si>
  <si>
    <r>
      <t>Revelation Time t</t>
    </r>
    <r>
      <rPr>
        <b/>
        <vertAlign val="subscript"/>
        <sz val="10"/>
        <color indexed="9"/>
        <rFont val="Arial"/>
        <family val="2"/>
      </rPr>
      <t>R</t>
    </r>
    <r>
      <rPr>
        <b/>
        <sz val="10"/>
        <color indexed="9"/>
        <rFont val="Arial"/>
        <family val="2"/>
      </rPr>
      <t xml:space="preserve"> = </t>
    </r>
  </si>
  <si>
    <r>
      <t xml:space="preserve">Option </t>
    </r>
    <r>
      <rPr>
        <b/>
        <vertAlign val="superscript"/>
        <sz val="10"/>
        <rFont val="Symbol"/>
        <family val="1"/>
      </rPr>
      <t>+</t>
    </r>
    <r>
      <rPr>
        <b/>
        <sz val="10"/>
        <rFont val="Arial"/>
        <family val="2"/>
      </rPr>
      <t xml:space="preserve"> = </t>
    </r>
  </si>
  <si>
    <r>
      <t xml:space="preserve">Option </t>
    </r>
    <r>
      <rPr>
        <b/>
        <vertAlign val="superscript"/>
        <sz val="10"/>
        <rFont val="Symbol"/>
        <family val="1"/>
      </rPr>
      <t>-</t>
    </r>
    <r>
      <rPr>
        <b/>
        <sz val="10"/>
        <rFont val="Arial"/>
        <family val="2"/>
      </rPr>
      <t xml:space="preserve"> = </t>
    </r>
  </si>
  <si>
    <r>
      <t xml:space="preserve">CF </t>
    </r>
    <r>
      <rPr>
        <b/>
        <vertAlign val="superscript"/>
        <sz val="10"/>
        <rFont val="Symbol"/>
        <family val="1"/>
      </rPr>
      <t>+</t>
    </r>
    <r>
      <rPr>
        <b/>
        <sz val="10"/>
        <rFont val="Arial"/>
        <family val="2"/>
      </rPr>
      <t xml:space="preserve"> = </t>
    </r>
  </si>
  <si>
    <r>
      <t xml:space="preserve">CF </t>
    </r>
    <r>
      <rPr>
        <b/>
        <vertAlign val="superscript"/>
        <sz val="10"/>
        <rFont val="Symbol"/>
        <family val="1"/>
      </rPr>
      <t>-</t>
    </r>
    <r>
      <rPr>
        <b/>
        <sz val="10"/>
        <rFont val="Arial"/>
        <family val="2"/>
      </rPr>
      <t xml:space="preserve"> = </t>
    </r>
  </si>
  <si>
    <r>
      <t>Inspired in Smit &amp; Trigeorgis forthcoming book  on option games</t>
    </r>
    <r>
      <rPr>
        <sz val="8"/>
        <color indexed="10"/>
        <rFont val="Arial"/>
        <family val="2"/>
      </rPr>
      <t xml:space="preserve"> </t>
    </r>
  </si>
  <si>
    <r>
      <t>R</t>
    </r>
    <r>
      <rPr>
        <b/>
        <vertAlign val="subscript"/>
        <sz val="10"/>
        <rFont val="Times New Roman"/>
        <family val="1"/>
      </rPr>
      <t>dp</t>
    </r>
    <r>
      <rPr>
        <b/>
        <sz val="10"/>
        <rFont val="Times New Roman"/>
        <family val="0"/>
      </rPr>
      <t xml:space="preserve"> = </t>
    </r>
  </si>
  <si>
    <t>Game in strategic form for a specific oil price value</t>
  </si>
  <si>
    <t>Game Window x Time to Expiration</t>
  </si>
  <si>
    <r>
      <t xml:space="preserve"> t</t>
    </r>
    <r>
      <rPr>
        <b/>
        <sz val="10"/>
        <rFont val="Arial"/>
        <family val="0"/>
      </rPr>
      <t xml:space="preserve"> (years)</t>
    </r>
  </si>
  <si>
    <t xml:space="preserve">time-step = </t>
  </si>
  <si>
    <r>
      <t>P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 </t>
    </r>
  </si>
  <si>
    <t>P**</t>
  </si>
  <si>
    <t>difference</t>
  </si>
  <si>
    <r>
      <t>P</t>
    </r>
    <r>
      <rPr>
        <b/>
        <vertAlign val="subscript"/>
        <sz val="10"/>
        <rFont val="Arial"/>
        <family val="2"/>
      </rPr>
      <t>U_inf</t>
    </r>
    <r>
      <rPr>
        <b/>
        <sz val="10"/>
        <rFont val="Arial"/>
        <family val="2"/>
      </rPr>
      <t xml:space="preserve"> </t>
    </r>
  </si>
  <si>
    <r>
      <t>P</t>
    </r>
    <r>
      <rPr>
        <b/>
        <vertAlign val="subscript"/>
        <sz val="10"/>
        <rFont val="Arial"/>
        <family val="2"/>
      </rPr>
      <t>U_sup</t>
    </r>
  </si>
  <si>
    <t>Bargaining (see the other spreadsheet)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</si>
</sst>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0.0%"/>
    <numFmt numFmtId="182" formatCode="0.000%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&quot;Sim&quot;;&quot;Sim&quot;;&quot;Não&quot;"/>
    <numFmt numFmtId="193" formatCode="&quot;Verdadeiro&quot;;&quot;Verdadeiro&quot;;&quot;Falso&quot;"/>
    <numFmt numFmtId="194" formatCode="&quot;Ativar&quot;;&quot;Ativar&quot;;&quot;Desativar&quot;"/>
  </numFmts>
  <fonts count="58">
    <font>
      <sz val="10"/>
      <name val="Arial"/>
      <family val="0"/>
    </font>
    <font>
      <b/>
      <sz val="10"/>
      <color indexed="12"/>
      <name val="Times New Roman"/>
      <family val="1"/>
    </font>
    <font>
      <b/>
      <sz val="10"/>
      <name val="Times New Roman"/>
      <family val="0"/>
    </font>
    <font>
      <b/>
      <sz val="10"/>
      <name val="Symbol"/>
      <family val="1"/>
    </font>
    <font>
      <sz val="8"/>
      <name val="Tahoma"/>
      <family val="0"/>
    </font>
    <font>
      <sz val="10"/>
      <color indexed="10"/>
      <name val="Times New Roman"/>
      <family val="1"/>
    </font>
    <font>
      <b/>
      <vertAlign val="subscript"/>
      <sz val="10"/>
      <name val="Times New Roman"/>
      <family val="1"/>
    </font>
    <font>
      <sz val="10"/>
      <name val="Times New Roman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2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Times New Roman"/>
      <family val="1"/>
    </font>
    <font>
      <b/>
      <vertAlign val="superscript"/>
      <sz val="10"/>
      <name val="Symbol"/>
      <family val="1"/>
    </font>
    <font>
      <b/>
      <sz val="9"/>
      <name val="Times New Roman"/>
      <family val="1"/>
    </font>
    <font>
      <vertAlign val="superscript"/>
      <sz val="10"/>
      <name val="Symbol"/>
      <family val="1"/>
    </font>
    <font>
      <vertAlign val="subscript"/>
      <sz val="10"/>
      <color indexed="12"/>
      <name val="Arial"/>
      <family val="2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8"/>
      <name val="Times New Roman"/>
      <family val="1"/>
    </font>
    <font>
      <b/>
      <vertAlign val="subscript"/>
      <sz val="10"/>
      <color indexed="12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perscript"/>
      <sz val="10"/>
      <color indexed="10"/>
      <name val="Symbol"/>
      <family val="1"/>
    </font>
    <font>
      <sz val="10"/>
      <color indexed="10"/>
      <name val="Symbol"/>
      <family val="1"/>
    </font>
    <font>
      <sz val="10"/>
      <color indexed="12"/>
      <name val="Symbol"/>
      <family val="1"/>
    </font>
    <font>
      <sz val="8"/>
      <color indexed="12"/>
      <name val="Arial"/>
      <family val="2"/>
    </font>
    <font>
      <b/>
      <vertAlign val="subscript"/>
      <sz val="9"/>
      <name val="Times New Roman"/>
      <family val="1"/>
    </font>
    <font>
      <sz val="10"/>
      <color indexed="57"/>
      <name val="Arial"/>
      <family val="2"/>
    </font>
    <font>
      <vertAlign val="subscript"/>
      <sz val="9"/>
      <color indexed="12"/>
      <name val="Arial"/>
      <family val="2"/>
    </font>
    <font>
      <b/>
      <vertAlign val="subscript"/>
      <sz val="10"/>
      <color indexed="12"/>
      <name val="Times New Roman"/>
      <family val="1"/>
    </font>
    <font>
      <b/>
      <sz val="9"/>
      <color indexed="12"/>
      <name val="Arial"/>
      <family val="2"/>
    </font>
    <font>
      <sz val="10"/>
      <color indexed="12"/>
      <name val="Times New Roman"/>
      <family val="1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b/>
      <sz val="10"/>
      <color indexed="9"/>
      <name val="Times New Roman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u val="single"/>
      <sz val="10"/>
      <color indexed="10"/>
      <name val="Arial"/>
      <family val="2"/>
    </font>
    <font>
      <sz val="22"/>
      <name val="Arial"/>
      <family val="0"/>
    </font>
    <font>
      <sz val="19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quotePrefix="1">
      <alignment horizontal="left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3" borderId="3" xfId="0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horizontal="center"/>
    </xf>
    <xf numFmtId="0" fontId="0" fillId="4" borderId="1" xfId="0" applyFont="1" applyFill="1" applyBorder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 horizontal="right"/>
    </xf>
    <xf numFmtId="180" fontId="23" fillId="0" borderId="1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0" fillId="0" borderId="10" xfId="0" applyBorder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 quotePrefix="1">
      <alignment horizontal="right" vertical="center"/>
    </xf>
    <xf numFmtId="0" fontId="2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180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 vertical="center"/>
    </xf>
    <xf numFmtId="180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/>
    </xf>
    <xf numFmtId="0" fontId="15" fillId="0" borderId="0" xfId="0" applyFont="1" applyAlignment="1">
      <alignment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0" fontId="27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 quotePrefix="1">
      <alignment horizontal="left" vertical="center"/>
    </xf>
    <xf numFmtId="0" fontId="0" fillId="0" borderId="0" xfId="0" applyFont="1" applyFill="1" applyBorder="1" applyAlignment="1">
      <alignment/>
    </xf>
    <xf numFmtId="0" fontId="34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14" fillId="0" borderId="0" xfId="0" applyFont="1" applyAlignment="1">
      <alignment/>
    </xf>
    <xf numFmtId="0" fontId="19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180" fontId="19" fillId="0" borderId="11" xfId="0" applyNumberFormat="1" applyFont="1" applyBorder="1" applyAlignment="1">
      <alignment/>
    </xf>
    <xf numFmtId="180" fontId="24" fillId="0" borderId="12" xfId="0" applyNumberFormat="1" applyFont="1" applyBorder="1" applyAlignment="1">
      <alignment horizontal="left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180" fontId="2" fillId="4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right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18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/>
    </xf>
    <xf numFmtId="190" fontId="1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Border="1" applyAlignment="1">
      <alignment/>
    </xf>
    <xf numFmtId="179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top"/>
    </xf>
    <xf numFmtId="0" fontId="29" fillId="0" borderId="0" xfId="0" applyFont="1" applyAlignment="1">
      <alignment horizontal="right"/>
    </xf>
    <xf numFmtId="0" fontId="44" fillId="0" borderId="0" xfId="0" applyFont="1" applyAlignment="1">
      <alignment/>
    </xf>
    <xf numFmtId="181" fontId="2" fillId="2" borderId="1" xfId="19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/>
    </xf>
    <xf numFmtId="2" fontId="9" fillId="4" borderId="1" xfId="0" applyNumberFormat="1" applyFont="1" applyFill="1" applyBorder="1" applyAlignment="1">
      <alignment horizontal="center"/>
    </xf>
    <xf numFmtId="9" fontId="2" fillId="0" borderId="0" xfId="19" applyFont="1" applyFill="1" applyBorder="1" applyAlignment="1" applyProtection="1">
      <alignment horizontal="left" vertical="center"/>
      <protection locked="0"/>
    </xf>
    <xf numFmtId="2" fontId="9" fillId="0" borderId="0" xfId="0" applyNumberFormat="1" applyFont="1" applyFill="1" applyBorder="1" applyAlignment="1">
      <alignment horizontal="right"/>
    </xf>
    <xf numFmtId="181" fontId="9" fillId="0" borderId="0" xfId="19" applyNumberFormat="1" applyFont="1" applyFill="1" applyBorder="1" applyAlignment="1">
      <alignment horizontal="left"/>
    </xf>
    <xf numFmtId="181" fontId="29" fillId="4" borderId="1" xfId="19" applyNumberFormat="1" applyFont="1" applyFill="1" applyBorder="1" applyAlignment="1">
      <alignment horizontal="center"/>
    </xf>
    <xf numFmtId="176" fontId="23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5" borderId="1" xfId="0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2" fontId="47" fillId="4" borderId="1" xfId="0" applyNumberFormat="1" applyFont="1" applyFill="1" applyBorder="1" applyAlignment="1">
      <alignment horizontal="center"/>
    </xf>
    <xf numFmtId="0" fontId="48" fillId="0" borderId="0" xfId="0" applyFont="1" applyAlignment="1" quotePrefix="1">
      <alignment horizontal="left" vertical="center"/>
    </xf>
    <xf numFmtId="0" fontId="49" fillId="0" borderId="0" xfId="0" applyFont="1" applyAlignment="1">
      <alignment horizontal="right"/>
    </xf>
    <xf numFmtId="0" fontId="51" fillId="2" borderId="1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0" xfId="0" applyFont="1" applyAlignment="1">
      <alignment horizontal="center"/>
    </xf>
    <xf numFmtId="0" fontId="55" fillId="0" borderId="0" xfId="0" applyFont="1" applyAlignment="1">
      <alignment/>
    </xf>
    <xf numFmtId="0" fontId="0" fillId="5" borderId="1" xfId="0" applyFill="1" applyBorder="1" applyAlignment="1">
      <alignment horizontal="center"/>
    </xf>
    <xf numFmtId="0" fontId="2" fillId="0" borderId="0" xfId="0" applyFont="1" applyAlignment="1">
      <alignment horizontal="right" wrapText="1"/>
    </xf>
    <xf numFmtId="0" fontId="7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 textRotation="90"/>
    </xf>
    <xf numFmtId="0" fontId="0" fillId="0" borderId="0" xfId="0" applyAlignment="1">
      <alignment/>
    </xf>
    <xf numFmtId="0" fontId="19" fillId="0" borderId="0" xfId="0" applyFont="1" applyFill="1" applyBorder="1" applyAlignment="1">
      <alignment horizontal="right" vertical="center" textRotation="90"/>
    </xf>
    <xf numFmtId="0" fontId="0" fillId="0" borderId="0" xfId="0" applyFill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Leader, Follower, and Exploratory Option  x  Oil Price</a:t>
            </a:r>
          </a:p>
        </c:rich>
      </c:tx>
      <c:layout>
        <c:manualLayout>
          <c:xMode val="factor"/>
          <c:yMode val="factor"/>
          <c:x val="0.023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515"/>
          <c:w val="0.9645"/>
          <c:h val="0.90625"/>
        </c:manualLayout>
      </c:layout>
      <c:scatterChart>
        <c:scatterStyle val="smooth"/>
        <c:varyColors val="0"/>
        <c:ser>
          <c:idx val="2"/>
          <c:order val="0"/>
          <c:tx>
            <c:strRef>
              <c:f>'option-table'!$H$3</c:f>
              <c:strCache>
                <c:ptCount val="1"/>
                <c:pt idx="0">
                  <c:v>Follower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'option-table'!$B$4:$B$60</c:f>
              <c:numCache>
                <c:ptCount val="57"/>
                <c:pt idx="0">
                  <c:v>16</c:v>
                </c:pt>
                <c:pt idx="1">
                  <c:v>16.5</c:v>
                </c:pt>
                <c:pt idx="2">
                  <c:v>17</c:v>
                </c:pt>
                <c:pt idx="3">
                  <c:v>17.5</c:v>
                </c:pt>
                <c:pt idx="4">
                  <c:v>18</c:v>
                </c:pt>
                <c:pt idx="5">
                  <c:v>18.5</c:v>
                </c:pt>
                <c:pt idx="6">
                  <c:v>19</c:v>
                </c:pt>
                <c:pt idx="7">
                  <c:v>19.5</c:v>
                </c:pt>
                <c:pt idx="8">
                  <c:v>20</c:v>
                </c:pt>
                <c:pt idx="9">
                  <c:v>20.5</c:v>
                </c:pt>
                <c:pt idx="10">
                  <c:v>21</c:v>
                </c:pt>
                <c:pt idx="11">
                  <c:v>21.5</c:v>
                </c:pt>
                <c:pt idx="12">
                  <c:v>22</c:v>
                </c:pt>
                <c:pt idx="13">
                  <c:v>22.5</c:v>
                </c:pt>
                <c:pt idx="14">
                  <c:v>23</c:v>
                </c:pt>
                <c:pt idx="15">
                  <c:v>23.5</c:v>
                </c:pt>
                <c:pt idx="16">
                  <c:v>24</c:v>
                </c:pt>
                <c:pt idx="17">
                  <c:v>24.5</c:v>
                </c:pt>
                <c:pt idx="18">
                  <c:v>25</c:v>
                </c:pt>
                <c:pt idx="19">
                  <c:v>25.5</c:v>
                </c:pt>
                <c:pt idx="20">
                  <c:v>26</c:v>
                </c:pt>
                <c:pt idx="21">
                  <c:v>26.5</c:v>
                </c:pt>
                <c:pt idx="22">
                  <c:v>27</c:v>
                </c:pt>
                <c:pt idx="23">
                  <c:v>27.5</c:v>
                </c:pt>
                <c:pt idx="24">
                  <c:v>28</c:v>
                </c:pt>
                <c:pt idx="25">
                  <c:v>28.5</c:v>
                </c:pt>
                <c:pt idx="26">
                  <c:v>29</c:v>
                </c:pt>
                <c:pt idx="27">
                  <c:v>29.5</c:v>
                </c:pt>
                <c:pt idx="28">
                  <c:v>30</c:v>
                </c:pt>
                <c:pt idx="29">
                  <c:v>30.5</c:v>
                </c:pt>
                <c:pt idx="30">
                  <c:v>31</c:v>
                </c:pt>
                <c:pt idx="31">
                  <c:v>31.5</c:v>
                </c:pt>
                <c:pt idx="32">
                  <c:v>32</c:v>
                </c:pt>
                <c:pt idx="33">
                  <c:v>32.5</c:v>
                </c:pt>
                <c:pt idx="34">
                  <c:v>33</c:v>
                </c:pt>
                <c:pt idx="35">
                  <c:v>33.5</c:v>
                </c:pt>
                <c:pt idx="36">
                  <c:v>34</c:v>
                </c:pt>
                <c:pt idx="37">
                  <c:v>34.5</c:v>
                </c:pt>
                <c:pt idx="38">
                  <c:v>35</c:v>
                </c:pt>
                <c:pt idx="39">
                  <c:v>35.5</c:v>
                </c:pt>
                <c:pt idx="40">
                  <c:v>36</c:v>
                </c:pt>
                <c:pt idx="41">
                  <c:v>36.5</c:v>
                </c:pt>
                <c:pt idx="42">
                  <c:v>37</c:v>
                </c:pt>
                <c:pt idx="43">
                  <c:v>37.5</c:v>
                </c:pt>
                <c:pt idx="44">
                  <c:v>38</c:v>
                </c:pt>
                <c:pt idx="45">
                  <c:v>38.5</c:v>
                </c:pt>
                <c:pt idx="46">
                  <c:v>39</c:v>
                </c:pt>
                <c:pt idx="47">
                  <c:v>39.5</c:v>
                </c:pt>
                <c:pt idx="48">
                  <c:v>40</c:v>
                </c:pt>
                <c:pt idx="49">
                  <c:v>40.5</c:v>
                </c:pt>
                <c:pt idx="50">
                  <c:v>41</c:v>
                </c:pt>
                <c:pt idx="51">
                  <c:v>41.5</c:v>
                </c:pt>
                <c:pt idx="52">
                  <c:v>42</c:v>
                </c:pt>
                <c:pt idx="53">
                  <c:v>42.5</c:v>
                </c:pt>
                <c:pt idx="54">
                  <c:v>43</c:v>
                </c:pt>
                <c:pt idx="55">
                  <c:v>43.5</c:v>
                </c:pt>
                <c:pt idx="56">
                  <c:v>44</c:v>
                </c:pt>
              </c:numCache>
            </c:numRef>
          </c:xVal>
          <c:yVal>
            <c:numRef>
              <c:f>'option-table'!$H$4:$H$74</c:f>
              <c:numCache>
                <c:ptCount val="71"/>
                <c:pt idx="0">
                  <c:v>0.5516472890615841</c:v>
                </c:pt>
                <c:pt idx="1">
                  <c:v>0.7787347453369188</c:v>
                </c:pt>
                <c:pt idx="2">
                  <c:v>1.0726618331487596</c:v>
                </c:pt>
                <c:pt idx="3">
                  <c:v>1.444795327458703</c:v>
                </c:pt>
                <c:pt idx="4">
                  <c:v>1.9065596474459532</c:v>
                </c:pt>
                <c:pt idx="5">
                  <c:v>2.4691201868874555</c:v>
                </c:pt>
                <c:pt idx="6">
                  <c:v>3.1430825595400393</c:v>
                </c:pt>
                <c:pt idx="7">
                  <c:v>3.938223487582863</c:v>
                </c:pt>
                <c:pt idx="8">
                  <c:v>4.863265417008364</c:v>
                </c:pt>
                <c:pt idx="9">
                  <c:v>5.925702979098784</c:v>
                </c:pt>
                <c:pt idx="10">
                  <c:v>7.131685546565175</c:v>
                </c:pt>
                <c:pt idx="11">
                  <c:v>8.485929219629678</c:v>
                </c:pt>
                <c:pt idx="12">
                  <c:v>9.991652668345871</c:v>
                </c:pt>
                <c:pt idx="13">
                  <c:v>11.650691890482841</c:v>
                </c:pt>
                <c:pt idx="14">
                  <c:v>13.463527346970256</c:v>
                </c:pt>
                <c:pt idx="15">
                  <c:v>15.429317167079322</c:v>
                </c:pt>
                <c:pt idx="16">
                  <c:v>17.546071347773363</c:v>
                </c:pt>
                <c:pt idx="17">
                  <c:v>19.810781268824925</c:v>
                </c:pt>
                <c:pt idx="18">
                  <c:v>22.219556530624274</c:v>
                </c:pt>
                <c:pt idx="19">
                  <c:v>24.767701513491183</c:v>
                </c:pt>
                <c:pt idx="20">
                  <c:v>27.44993819644424</c:v>
                </c:pt>
                <c:pt idx="21">
                  <c:v>30.260551123441697</c:v>
                </c:pt>
                <c:pt idx="22">
                  <c:v>33.19347173116522</c:v>
                </c:pt>
                <c:pt idx="23">
                  <c:v>36.242382572498784</c:v>
                </c:pt>
                <c:pt idx="24">
                  <c:v>39.400870070731315</c:v>
                </c:pt>
                <c:pt idx="25">
                  <c:v>42.7442673400121</c:v>
                </c:pt>
                <c:pt idx="26">
                  <c:v>46.21574353590023</c:v>
                </c:pt>
                <c:pt idx="27">
                  <c:v>49.74845733448805</c:v>
                </c:pt>
                <c:pt idx="28">
                  <c:v>53.33894634978866</c:v>
                </c:pt>
                <c:pt idx="29">
                  <c:v>56.98374609353091</c:v>
                </c:pt>
                <c:pt idx="30">
                  <c:v>60.67943280767498</c:v>
                </c:pt>
                <c:pt idx="31">
                  <c:v>64.42266789215667</c:v>
                </c:pt>
                <c:pt idx="32">
                  <c:v>68.21021645852103</c:v>
                </c:pt>
                <c:pt idx="33">
                  <c:v>72.03897155283127</c:v>
                </c:pt>
                <c:pt idx="34">
                  <c:v>75.90598532999269</c:v>
                </c:pt>
                <c:pt idx="35">
                  <c:v>79.93774629136908</c:v>
                </c:pt>
                <c:pt idx="36">
                  <c:v>84.00951467253093</c:v>
                </c:pt>
                <c:pt idx="37">
                  <c:v>88.08128305369272</c:v>
                </c:pt>
                <c:pt idx="38">
                  <c:v>92.15305143485453</c:v>
                </c:pt>
                <c:pt idx="39">
                  <c:v>96.22481981601635</c:v>
                </c:pt>
                <c:pt idx="40">
                  <c:v>100.29658819717815</c:v>
                </c:pt>
                <c:pt idx="41">
                  <c:v>104.36835657833998</c:v>
                </c:pt>
                <c:pt idx="42">
                  <c:v>108.44012495950182</c:v>
                </c:pt>
                <c:pt idx="43">
                  <c:v>112.51189334066362</c:v>
                </c:pt>
                <c:pt idx="44">
                  <c:v>116.58366172182544</c:v>
                </c:pt>
                <c:pt idx="45">
                  <c:v>120.65543010298728</c:v>
                </c:pt>
                <c:pt idx="46">
                  <c:v>124.72719848414908</c:v>
                </c:pt>
                <c:pt idx="47">
                  <c:v>128.7989668653109</c:v>
                </c:pt>
                <c:pt idx="48">
                  <c:v>132.87073524647272</c:v>
                </c:pt>
                <c:pt idx="49">
                  <c:v>136.94250362763455</c:v>
                </c:pt>
                <c:pt idx="50">
                  <c:v>141.01427200879635</c:v>
                </c:pt>
                <c:pt idx="51">
                  <c:v>145.08604038995819</c:v>
                </c:pt>
                <c:pt idx="52">
                  <c:v>149.15780877112002</c:v>
                </c:pt>
                <c:pt idx="53">
                  <c:v>153.22957715228182</c:v>
                </c:pt>
                <c:pt idx="54">
                  <c:v>157.30134553344362</c:v>
                </c:pt>
                <c:pt idx="55">
                  <c:v>161.37311391460545</c:v>
                </c:pt>
                <c:pt idx="56">
                  <c:v>165.4448822957673</c:v>
                </c:pt>
                <c:pt idx="57">
                  <c:v>169.5166506769291</c:v>
                </c:pt>
                <c:pt idx="58">
                  <c:v>173.58841905809086</c:v>
                </c:pt>
                <c:pt idx="59">
                  <c:v>177.66018743925272</c:v>
                </c:pt>
                <c:pt idx="60">
                  <c:v>181.73195582041456</c:v>
                </c:pt>
                <c:pt idx="61">
                  <c:v>185.80372420157633</c:v>
                </c:pt>
                <c:pt idx="62">
                  <c:v>189.87549258273822</c:v>
                </c:pt>
                <c:pt idx="63">
                  <c:v>193.94726096389994</c:v>
                </c:pt>
                <c:pt idx="64">
                  <c:v>198.01902934506182</c:v>
                </c:pt>
                <c:pt idx="65">
                  <c:v>202.09079772622363</c:v>
                </c:pt>
                <c:pt idx="66">
                  <c:v>206.16256610738543</c:v>
                </c:pt>
                <c:pt idx="67">
                  <c:v>210.23433448854726</c:v>
                </c:pt>
                <c:pt idx="68">
                  <c:v>214.3061028697091</c:v>
                </c:pt>
                <c:pt idx="69">
                  <c:v>218.3778712508709</c:v>
                </c:pt>
                <c:pt idx="70">
                  <c:v>222.44963963203273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'option-table'!$C$3</c:f>
              <c:strCache>
                <c:ptCount val="1"/>
                <c:pt idx="0">
                  <c:v>Leader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'option-table'!$B$4:$B$60</c:f>
              <c:numCache>
                <c:ptCount val="57"/>
                <c:pt idx="0">
                  <c:v>16</c:v>
                </c:pt>
                <c:pt idx="1">
                  <c:v>16.5</c:v>
                </c:pt>
                <c:pt idx="2">
                  <c:v>17</c:v>
                </c:pt>
                <c:pt idx="3">
                  <c:v>17.5</c:v>
                </c:pt>
                <c:pt idx="4">
                  <c:v>18</c:v>
                </c:pt>
                <c:pt idx="5">
                  <c:v>18.5</c:v>
                </c:pt>
                <c:pt idx="6">
                  <c:v>19</c:v>
                </c:pt>
                <c:pt idx="7">
                  <c:v>19.5</c:v>
                </c:pt>
                <c:pt idx="8">
                  <c:v>20</c:v>
                </c:pt>
                <c:pt idx="9">
                  <c:v>20.5</c:v>
                </c:pt>
                <c:pt idx="10">
                  <c:v>21</c:v>
                </c:pt>
                <c:pt idx="11">
                  <c:v>21.5</c:v>
                </c:pt>
                <c:pt idx="12">
                  <c:v>22</c:v>
                </c:pt>
                <c:pt idx="13">
                  <c:v>22.5</c:v>
                </c:pt>
                <c:pt idx="14">
                  <c:v>23</c:v>
                </c:pt>
                <c:pt idx="15">
                  <c:v>23.5</c:v>
                </c:pt>
                <c:pt idx="16">
                  <c:v>24</c:v>
                </c:pt>
                <c:pt idx="17">
                  <c:v>24.5</c:v>
                </c:pt>
                <c:pt idx="18">
                  <c:v>25</c:v>
                </c:pt>
                <c:pt idx="19">
                  <c:v>25.5</c:v>
                </c:pt>
                <c:pt idx="20">
                  <c:v>26</c:v>
                </c:pt>
                <c:pt idx="21">
                  <c:v>26.5</c:v>
                </c:pt>
                <c:pt idx="22">
                  <c:v>27</c:v>
                </c:pt>
                <c:pt idx="23">
                  <c:v>27.5</c:v>
                </c:pt>
                <c:pt idx="24">
                  <c:v>28</c:v>
                </c:pt>
                <c:pt idx="25">
                  <c:v>28.5</c:v>
                </c:pt>
                <c:pt idx="26">
                  <c:v>29</c:v>
                </c:pt>
                <c:pt idx="27">
                  <c:v>29.5</c:v>
                </c:pt>
                <c:pt idx="28">
                  <c:v>30</c:v>
                </c:pt>
                <c:pt idx="29">
                  <c:v>30.5</c:v>
                </c:pt>
                <c:pt idx="30">
                  <c:v>31</c:v>
                </c:pt>
                <c:pt idx="31">
                  <c:v>31.5</c:v>
                </c:pt>
                <c:pt idx="32">
                  <c:v>32</c:v>
                </c:pt>
                <c:pt idx="33">
                  <c:v>32.5</c:v>
                </c:pt>
                <c:pt idx="34">
                  <c:v>33</c:v>
                </c:pt>
                <c:pt idx="35">
                  <c:v>33.5</c:v>
                </c:pt>
                <c:pt idx="36">
                  <c:v>34</c:v>
                </c:pt>
                <c:pt idx="37">
                  <c:v>34.5</c:v>
                </c:pt>
                <c:pt idx="38">
                  <c:v>35</c:v>
                </c:pt>
                <c:pt idx="39">
                  <c:v>35.5</c:v>
                </c:pt>
                <c:pt idx="40">
                  <c:v>36</c:v>
                </c:pt>
                <c:pt idx="41">
                  <c:v>36.5</c:v>
                </c:pt>
                <c:pt idx="42">
                  <c:v>37</c:v>
                </c:pt>
                <c:pt idx="43">
                  <c:v>37.5</c:v>
                </c:pt>
                <c:pt idx="44">
                  <c:v>38</c:v>
                </c:pt>
                <c:pt idx="45">
                  <c:v>38.5</c:v>
                </c:pt>
                <c:pt idx="46">
                  <c:v>39</c:v>
                </c:pt>
                <c:pt idx="47">
                  <c:v>39.5</c:v>
                </c:pt>
                <c:pt idx="48">
                  <c:v>40</c:v>
                </c:pt>
                <c:pt idx="49">
                  <c:v>40.5</c:v>
                </c:pt>
                <c:pt idx="50">
                  <c:v>41</c:v>
                </c:pt>
                <c:pt idx="51">
                  <c:v>41.5</c:v>
                </c:pt>
                <c:pt idx="52">
                  <c:v>42</c:v>
                </c:pt>
                <c:pt idx="53">
                  <c:v>42.5</c:v>
                </c:pt>
                <c:pt idx="54">
                  <c:v>43</c:v>
                </c:pt>
                <c:pt idx="55">
                  <c:v>43.5</c:v>
                </c:pt>
                <c:pt idx="56">
                  <c:v>44</c:v>
                </c:pt>
              </c:numCache>
            </c:numRef>
          </c:xVal>
          <c:yVal>
            <c:numRef>
              <c:f>'option-table'!$C$4:$C$60</c:f>
              <c:numCache>
                <c:ptCount val="57"/>
                <c:pt idx="0">
                  <c:v>-27.884441685102058</c:v>
                </c:pt>
                <c:pt idx="1">
                  <c:v>-27.170035605260146</c:v>
                </c:pt>
                <c:pt idx="2">
                  <c:v>-26.299544177237163</c:v>
                </c:pt>
                <c:pt idx="3">
                  <c:v>-25.260222388627504</c:v>
                </c:pt>
                <c:pt idx="4">
                  <c:v>-24.04190127329372</c:v>
                </c:pt>
                <c:pt idx="5">
                  <c:v>-22.637215015053727</c:v>
                </c:pt>
                <c:pt idx="6">
                  <c:v>-21.041660000557656</c:v>
                </c:pt>
                <c:pt idx="7">
                  <c:v>-19.253500413430803</c:v>
                </c:pt>
                <c:pt idx="8">
                  <c:v>-17.273650721141614</c:v>
                </c:pt>
                <c:pt idx="9">
                  <c:v>-15.105437880853321</c:v>
                </c:pt>
                <c:pt idx="10">
                  <c:v>-12.754056968996167</c:v>
                </c:pt>
                <c:pt idx="11">
                  <c:v>-10.226419374201939</c:v>
                </c:pt>
                <c:pt idx="12">
                  <c:v>-7.530770158796688</c:v>
                </c:pt>
                <c:pt idx="13">
                  <c:v>-4.676271827955045</c:v>
                </c:pt>
                <c:pt idx="14">
                  <c:v>-1.6727012825269618</c:v>
                </c:pt>
                <c:pt idx="15">
                  <c:v>1.469830769430871</c:v>
                </c:pt>
                <c:pt idx="16">
                  <c:v>4.74111850246134</c:v>
                </c:pt>
                <c:pt idx="17">
                  <c:v>8.131050021713065</c:v>
                </c:pt>
                <c:pt idx="18">
                  <c:v>11.629812754488817</c:v>
                </c:pt>
                <c:pt idx="19">
                  <c:v>15.228001162305937</c:v>
                </c:pt>
                <c:pt idx="20">
                  <c:v>18.916741629637897</c:v>
                </c:pt>
                <c:pt idx="21">
                  <c:v>22.93298895510361</c:v>
                </c:pt>
                <c:pt idx="22">
                  <c:v>27.00475733626545</c:v>
                </c:pt>
                <c:pt idx="23">
                  <c:v>31.076525717427288</c:v>
                </c:pt>
                <c:pt idx="24">
                  <c:v>35.148294098589076</c:v>
                </c:pt>
                <c:pt idx="25">
                  <c:v>39.22006247975092</c:v>
                </c:pt>
                <c:pt idx="26">
                  <c:v>43.29183086091271</c:v>
                </c:pt>
                <c:pt idx="27">
                  <c:v>47.36359924207454</c:v>
                </c:pt>
                <c:pt idx="28">
                  <c:v>51.435367623236345</c:v>
                </c:pt>
                <c:pt idx="29">
                  <c:v>55.50713600439818</c:v>
                </c:pt>
                <c:pt idx="30">
                  <c:v>59.57890438556001</c:v>
                </c:pt>
                <c:pt idx="31">
                  <c:v>63.65067276672181</c:v>
                </c:pt>
                <c:pt idx="32">
                  <c:v>67.72244114788364</c:v>
                </c:pt>
                <c:pt idx="33">
                  <c:v>71.79420952904543</c:v>
                </c:pt>
                <c:pt idx="34">
                  <c:v>75.86597791020728</c:v>
                </c:pt>
                <c:pt idx="35">
                  <c:v>79.93774629136911</c:v>
                </c:pt>
                <c:pt idx="36">
                  <c:v>84.0095146725309</c:v>
                </c:pt>
                <c:pt idx="37">
                  <c:v>88.08128305369274</c:v>
                </c:pt>
                <c:pt idx="38">
                  <c:v>92.15305143485453</c:v>
                </c:pt>
                <c:pt idx="39">
                  <c:v>96.22481981601636</c:v>
                </c:pt>
                <c:pt idx="40">
                  <c:v>100.29658819717815</c:v>
                </c:pt>
                <c:pt idx="41">
                  <c:v>104.36835657833998</c:v>
                </c:pt>
                <c:pt idx="42">
                  <c:v>108.44012495950184</c:v>
                </c:pt>
                <c:pt idx="43">
                  <c:v>112.51189334066362</c:v>
                </c:pt>
                <c:pt idx="44">
                  <c:v>116.58366172182545</c:v>
                </c:pt>
                <c:pt idx="45">
                  <c:v>120.65543010298725</c:v>
                </c:pt>
                <c:pt idx="46">
                  <c:v>124.72719848414908</c:v>
                </c:pt>
                <c:pt idx="47">
                  <c:v>128.7989668653109</c:v>
                </c:pt>
                <c:pt idx="48">
                  <c:v>132.87073524647272</c:v>
                </c:pt>
                <c:pt idx="49">
                  <c:v>136.94250362763455</c:v>
                </c:pt>
                <c:pt idx="50">
                  <c:v>141.01427200879635</c:v>
                </c:pt>
                <c:pt idx="51">
                  <c:v>145.08604038995819</c:v>
                </c:pt>
                <c:pt idx="52">
                  <c:v>149.15780877112</c:v>
                </c:pt>
                <c:pt idx="53">
                  <c:v>153.22957715228182</c:v>
                </c:pt>
                <c:pt idx="54">
                  <c:v>157.30134553344362</c:v>
                </c:pt>
                <c:pt idx="55">
                  <c:v>161.37311391460545</c:v>
                </c:pt>
                <c:pt idx="56">
                  <c:v>165.4448822957673</c:v>
                </c:pt>
              </c:numCache>
            </c:numRef>
          </c:yVal>
          <c:smooth val="1"/>
        </c:ser>
        <c:axId val="8848863"/>
        <c:axId val="12530904"/>
      </c:scatterChart>
      <c:valAx>
        <c:axId val="8848863"/>
        <c:scaling>
          <c:orientation val="minMax"/>
          <c:max val="34"/>
          <c:min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 (US$/bbl)</a:t>
                </a:r>
              </a:p>
            </c:rich>
          </c:tx>
          <c:layout>
            <c:manualLayout>
              <c:xMode val="factor"/>
              <c:yMode val="factor"/>
              <c:x val="0.002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2530904"/>
        <c:crosses val="autoZero"/>
        <c:crossBetween val="midCat"/>
        <c:dispUnits/>
        <c:majorUnit val="2"/>
      </c:valAx>
      <c:valAx>
        <c:axId val="1253090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Max(0, EMV), </a:t>
                </a:r>
                <a:r>
                  <a:rPr lang="en-US" cap="none" sz="900" b="1" i="0" u="none" baseline="0">
                    <a:solidFill>
                      <a:srgbClr val="0000FF"/>
                    </a:solidFill>
                  </a:rPr>
                  <a:t>Leader,</a:t>
                </a:r>
                <a:r>
                  <a:rPr lang="en-US" cap="none" sz="900" b="1" i="0" u="none" baseline="0"/>
                  <a:t>  </a:t>
                </a:r>
                <a:r>
                  <a:rPr lang="en-US" cap="none" sz="900" b="1" i="0" u="none" baseline="0">
                    <a:solidFill>
                      <a:srgbClr val="FF0000"/>
                    </a:solidFill>
                  </a:rPr>
                  <a:t>Follower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8848863"/>
        <c:crosses val="autoZero"/>
        <c:crossBetween val="midCat"/>
        <c:dispUnits/>
      </c:valAx>
      <c:spPr>
        <a:pattFill prst="pct50">
          <a:fgClr>
            <a:srgbClr val="C0C0C0"/>
          </a:fgClr>
          <a:bgClr>
            <a:srgbClr val="FFFFFF"/>
          </a:bgClr>
        </a:patt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24025"/>
          <c:y val="0.105"/>
          <c:w val="0.2545"/>
          <c:h val="0.1312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Threshold Ratio (V*'/I')  x  Time (t)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669273"/>
        <c:axId val="8370274"/>
      </c:lineChart>
      <c:catAx>
        <c:axId val="45669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370274"/>
        <c:crosses val="autoZero"/>
        <c:auto val="0"/>
        <c:lblOffset val="100"/>
        <c:tickLblSkip val="10"/>
        <c:tickMarkSkip val="10"/>
        <c:noMultiLvlLbl val="0"/>
      </c:catAx>
      <c:valAx>
        <c:axId val="8370274"/>
        <c:scaling>
          <c:orientation val="minMax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Threshold Ratio
  (V* '/ I ')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669273"/>
        <c:crossesAt val="1"/>
        <c:crossBetween val="midCat"/>
        <c:dispUnits/>
      </c:valAx>
      <c:spPr>
        <a:pattFill prst="pct50">
          <a:fgClr>
            <a:srgbClr val="C0C0C0"/>
          </a:fgClr>
          <a:bgClr>
            <a:srgbClr val="FFFFFF"/>
          </a:bgClr>
        </a:patt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Option Value Ratio (F/I')  x  Project Value Ratio (V'/I')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'option-table'!$E$3</c:f>
              <c:strCache>
                <c:ptCount val="1"/>
                <c:pt idx="0">
                  <c:v> F/I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'option-table'!$D$4:$D$74</c:f>
              <c:numCache>
                <c:ptCount val="71"/>
                <c:pt idx="0">
                  <c:v>0.5333333333333333</c:v>
                </c:pt>
                <c:pt idx="1">
                  <c:v>0.55</c:v>
                </c:pt>
                <c:pt idx="2">
                  <c:v>0.5666666666666667</c:v>
                </c:pt>
                <c:pt idx="3">
                  <c:v>0.5833333333333334</c:v>
                </c:pt>
                <c:pt idx="4">
                  <c:v>0.6</c:v>
                </c:pt>
                <c:pt idx="5">
                  <c:v>0.6166666666666667</c:v>
                </c:pt>
                <c:pt idx="6">
                  <c:v>0.6333333333333333</c:v>
                </c:pt>
                <c:pt idx="7">
                  <c:v>0.65</c:v>
                </c:pt>
                <c:pt idx="8">
                  <c:v>0.6666666666666666</c:v>
                </c:pt>
                <c:pt idx="9">
                  <c:v>0.6833333333333333</c:v>
                </c:pt>
                <c:pt idx="10">
                  <c:v>0.7</c:v>
                </c:pt>
                <c:pt idx="11">
                  <c:v>0.7166666666666667</c:v>
                </c:pt>
                <c:pt idx="12">
                  <c:v>0.7333333333333333</c:v>
                </c:pt>
                <c:pt idx="13">
                  <c:v>0.75</c:v>
                </c:pt>
                <c:pt idx="14">
                  <c:v>0.7666666666666667</c:v>
                </c:pt>
                <c:pt idx="15">
                  <c:v>0.7833333333333333</c:v>
                </c:pt>
                <c:pt idx="16">
                  <c:v>0.8</c:v>
                </c:pt>
                <c:pt idx="17">
                  <c:v>0.8166666666666667</c:v>
                </c:pt>
                <c:pt idx="18">
                  <c:v>0.8333333333333334</c:v>
                </c:pt>
                <c:pt idx="19">
                  <c:v>0.85</c:v>
                </c:pt>
                <c:pt idx="20">
                  <c:v>0.8666666666666667</c:v>
                </c:pt>
                <c:pt idx="21">
                  <c:v>0.8833333333333333</c:v>
                </c:pt>
                <c:pt idx="22">
                  <c:v>0.9</c:v>
                </c:pt>
                <c:pt idx="23">
                  <c:v>0.9166666666666666</c:v>
                </c:pt>
                <c:pt idx="24">
                  <c:v>0.9333333333333333</c:v>
                </c:pt>
                <c:pt idx="25">
                  <c:v>0.95</c:v>
                </c:pt>
                <c:pt idx="26">
                  <c:v>0.9666666666666667</c:v>
                </c:pt>
                <c:pt idx="27">
                  <c:v>0.9833333333333333</c:v>
                </c:pt>
                <c:pt idx="28">
                  <c:v>1</c:v>
                </c:pt>
                <c:pt idx="29">
                  <c:v>1.0166666666666666</c:v>
                </c:pt>
                <c:pt idx="30">
                  <c:v>1.0333333333333334</c:v>
                </c:pt>
                <c:pt idx="31">
                  <c:v>1.05</c:v>
                </c:pt>
                <c:pt idx="32">
                  <c:v>1.0666666666666667</c:v>
                </c:pt>
                <c:pt idx="33">
                  <c:v>1.0833333333333333</c:v>
                </c:pt>
                <c:pt idx="34">
                  <c:v>1.1</c:v>
                </c:pt>
                <c:pt idx="35">
                  <c:v>1.1166666666666667</c:v>
                </c:pt>
                <c:pt idx="36">
                  <c:v>1.1333333333333333</c:v>
                </c:pt>
                <c:pt idx="37">
                  <c:v>1.15</c:v>
                </c:pt>
                <c:pt idx="38">
                  <c:v>1.1666666666666667</c:v>
                </c:pt>
                <c:pt idx="39">
                  <c:v>1.1833333333333333</c:v>
                </c:pt>
                <c:pt idx="40">
                  <c:v>1.2</c:v>
                </c:pt>
                <c:pt idx="41">
                  <c:v>1.2166666666666666</c:v>
                </c:pt>
                <c:pt idx="42">
                  <c:v>1.2333333333333334</c:v>
                </c:pt>
                <c:pt idx="43">
                  <c:v>1.25</c:v>
                </c:pt>
                <c:pt idx="44">
                  <c:v>1.2666666666666666</c:v>
                </c:pt>
                <c:pt idx="45">
                  <c:v>1.2833333333333334</c:v>
                </c:pt>
                <c:pt idx="46">
                  <c:v>1.3</c:v>
                </c:pt>
                <c:pt idx="47">
                  <c:v>1.3166666666666667</c:v>
                </c:pt>
                <c:pt idx="48">
                  <c:v>1.3333333333333333</c:v>
                </c:pt>
                <c:pt idx="49">
                  <c:v>1.35</c:v>
                </c:pt>
                <c:pt idx="50">
                  <c:v>1.3666666666666667</c:v>
                </c:pt>
                <c:pt idx="51">
                  <c:v>1.3833333333333333</c:v>
                </c:pt>
                <c:pt idx="52">
                  <c:v>1.4</c:v>
                </c:pt>
                <c:pt idx="53">
                  <c:v>1.4166666666666667</c:v>
                </c:pt>
                <c:pt idx="54">
                  <c:v>1.4333333333333333</c:v>
                </c:pt>
                <c:pt idx="55">
                  <c:v>1.45</c:v>
                </c:pt>
                <c:pt idx="56">
                  <c:v>1.4666666666666666</c:v>
                </c:pt>
                <c:pt idx="57">
                  <c:v>1.4833333333333334</c:v>
                </c:pt>
                <c:pt idx="58">
                  <c:v>1.5</c:v>
                </c:pt>
                <c:pt idx="59">
                  <c:v>1.5166666666666666</c:v>
                </c:pt>
                <c:pt idx="60">
                  <c:v>1.5333333333333334</c:v>
                </c:pt>
                <c:pt idx="61">
                  <c:v>1.55</c:v>
                </c:pt>
                <c:pt idx="62">
                  <c:v>1.5666666666666667</c:v>
                </c:pt>
                <c:pt idx="63">
                  <c:v>1.5833333333333333</c:v>
                </c:pt>
                <c:pt idx="64">
                  <c:v>1.6</c:v>
                </c:pt>
                <c:pt idx="65">
                  <c:v>1.6166666666666667</c:v>
                </c:pt>
                <c:pt idx="66">
                  <c:v>1.6333333333333333</c:v>
                </c:pt>
                <c:pt idx="67">
                  <c:v>1.65</c:v>
                </c:pt>
                <c:pt idx="68">
                  <c:v>1.6666666666666667</c:v>
                </c:pt>
                <c:pt idx="69">
                  <c:v>1.6833333333333333</c:v>
                </c:pt>
                <c:pt idx="70">
                  <c:v>1.7</c:v>
                </c:pt>
              </c:numCache>
            </c:numRef>
          </c:cat>
          <c:val>
            <c:numRef>
              <c:f>'option-table'!$E$4:$E$74</c:f>
              <c:numCache>
                <c:ptCount val="71"/>
                <c:pt idx="0">
                  <c:v>-0.9294813895034019</c:v>
                </c:pt>
                <c:pt idx="1">
                  <c:v>-0.9056678535086715</c:v>
                </c:pt>
                <c:pt idx="2">
                  <c:v>-0.8766514725745721</c:v>
                </c:pt>
                <c:pt idx="3">
                  <c:v>-0.8420074129542502</c:v>
                </c:pt>
                <c:pt idx="4">
                  <c:v>-0.8013967091097907</c:v>
                </c:pt>
                <c:pt idx="5">
                  <c:v>-0.7545738338351242</c:v>
                </c:pt>
                <c:pt idx="6">
                  <c:v>-0.7013886666852552</c:v>
                </c:pt>
                <c:pt idx="7">
                  <c:v>-0.6417833471143601</c:v>
                </c:pt>
                <c:pt idx="8">
                  <c:v>-0.5757883573713871</c:v>
                </c:pt>
                <c:pt idx="9">
                  <c:v>-0.5035145960284441</c:v>
                </c:pt>
                <c:pt idx="10">
                  <c:v>-0.4251352322998722</c:v>
                </c:pt>
                <c:pt idx="11">
                  <c:v>-0.3408806458067313</c:v>
                </c:pt>
                <c:pt idx="12">
                  <c:v>-0.2510256719598896</c:v>
                </c:pt>
                <c:pt idx="13">
                  <c:v>-0.1558757275985015</c:v>
                </c:pt>
                <c:pt idx="14">
                  <c:v>-0.055756709417565394</c:v>
                </c:pt>
                <c:pt idx="15">
                  <c:v>0.04899435898102903</c:v>
                </c:pt>
                <c:pt idx="16">
                  <c:v>0.158037283415378</c:v>
                </c:pt>
                <c:pt idx="17">
                  <c:v>0.27103500072376885</c:v>
                </c:pt>
                <c:pt idx="18">
                  <c:v>0.38766042514962723</c:v>
                </c:pt>
                <c:pt idx="19">
                  <c:v>0.5076000387435312</c:v>
                </c:pt>
                <c:pt idx="20">
                  <c:v>0.6305580543212632</c:v>
                </c:pt>
                <c:pt idx="21">
                  <c:v>0.7644329651701204</c:v>
                </c:pt>
                <c:pt idx="22">
                  <c:v>0.900158577875515</c:v>
                </c:pt>
                <c:pt idx="23">
                  <c:v>1.0358841905809095</c:v>
                </c:pt>
                <c:pt idx="24">
                  <c:v>1.1716098032863025</c:v>
                </c:pt>
                <c:pt idx="25">
                  <c:v>1.3073354159916974</c:v>
                </c:pt>
                <c:pt idx="26">
                  <c:v>1.4430610286970904</c:v>
                </c:pt>
                <c:pt idx="27">
                  <c:v>1.5787866414024847</c:v>
                </c:pt>
                <c:pt idx="28">
                  <c:v>1.714512254107878</c:v>
                </c:pt>
                <c:pt idx="29">
                  <c:v>1.8502378668132726</c:v>
                </c:pt>
                <c:pt idx="30">
                  <c:v>1.985963479518667</c:v>
                </c:pt>
                <c:pt idx="31">
                  <c:v>2.1216890922240603</c:v>
                </c:pt>
                <c:pt idx="32">
                  <c:v>2.2574147049294546</c:v>
                </c:pt>
                <c:pt idx="33">
                  <c:v>2.3931403176348476</c:v>
                </c:pt>
                <c:pt idx="34">
                  <c:v>2.5288659303402428</c:v>
                </c:pt>
                <c:pt idx="35">
                  <c:v>2.664591543045637</c:v>
                </c:pt>
                <c:pt idx="36">
                  <c:v>2.80031715575103</c:v>
                </c:pt>
                <c:pt idx="37">
                  <c:v>2.9360427684564248</c:v>
                </c:pt>
                <c:pt idx="38">
                  <c:v>3.0717683811618177</c:v>
                </c:pt>
                <c:pt idx="39">
                  <c:v>3.207493993867212</c:v>
                </c:pt>
                <c:pt idx="40">
                  <c:v>3.343219606572605</c:v>
                </c:pt>
                <c:pt idx="41">
                  <c:v>3.4789452192779993</c:v>
                </c:pt>
                <c:pt idx="42">
                  <c:v>3.614670831983395</c:v>
                </c:pt>
                <c:pt idx="43">
                  <c:v>3.7503964446887874</c:v>
                </c:pt>
                <c:pt idx="44">
                  <c:v>3.8861220573941817</c:v>
                </c:pt>
                <c:pt idx="45">
                  <c:v>4.021847670099575</c:v>
                </c:pt>
                <c:pt idx="46">
                  <c:v>4.15757328280497</c:v>
                </c:pt>
                <c:pt idx="47">
                  <c:v>4.293298895510363</c:v>
                </c:pt>
                <c:pt idx="48">
                  <c:v>4.4290245082157575</c:v>
                </c:pt>
                <c:pt idx="49">
                  <c:v>4.564750120921151</c:v>
                </c:pt>
                <c:pt idx="50">
                  <c:v>4.700475733626545</c:v>
                </c:pt>
                <c:pt idx="51">
                  <c:v>4.836201346331939</c:v>
                </c:pt>
                <c:pt idx="52">
                  <c:v>4.971926959037333</c:v>
                </c:pt>
                <c:pt idx="53">
                  <c:v>5.107652571742728</c:v>
                </c:pt>
                <c:pt idx="54">
                  <c:v>5.243378184448121</c:v>
                </c:pt>
                <c:pt idx="55">
                  <c:v>5.379103797153515</c:v>
                </c:pt>
                <c:pt idx="56">
                  <c:v>5.514829409858909</c:v>
                </c:pt>
                <c:pt idx="57">
                  <c:v>5.650555022564303</c:v>
                </c:pt>
                <c:pt idx="58">
                  <c:v>5.786280635269697</c:v>
                </c:pt>
                <c:pt idx="59">
                  <c:v>5.92200624797509</c:v>
                </c:pt>
                <c:pt idx="60">
                  <c:v>6.0577318606804855</c:v>
                </c:pt>
                <c:pt idx="61">
                  <c:v>6.193457473385878</c:v>
                </c:pt>
                <c:pt idx="62">
                  <c:v>6.329183086091272</c:v>
                </c:pt>
                <c:pt idx="63">
                  <c:v>6.464908698796667</c:v>
                </c:pt>
                <c:pt idx="64">
                  <c:v>6.60063431150206</c:v>
                </c:pt>
                <c:pt idx="65">
                  <c:v>6.736359924207454</c:v>
                </c:pt>
                <c:pt idx="66">
                  <c:v>6.872085536912848</c:v>
                </c:pt>
                <c:pt idx="67">
                  <c:v>7.0078111496182425</c:v>
                </c:pt>
                <c:pt idx="68">
                  <c:v>7.143536762323635</c:v>
                </c:pt>
                <c:pt idx="69">
                  <c:v>7.279262375029032</c:v>
                </c:pt>
                <c:pt idx="70">
                  <c:v>7.414987987734423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'option-table'!$F$3</c:f>
              <c:strCache>
                <c:ptCount val="1"/>
                <c:pt idx="0">
                  <c:v> Max. (NPV, 0)/I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'option-table'!$D$4:$D$74</c:f>
              <c:numCache>
                <c:ptCount val="71"/>
                <c:pt idx="0">
                  <c:v>0.5333333333333333</c:v>
                </c:pt>
                <c:pt idx="1">
                  <c:v>0.55</c:v>
                </c:pt>
                <c:pt idx="2">
                  <c:v>0.5666666666666667</c:v>
                </c:pt>
                <c:pt idx="3">
                  <c:v>0.5833333333333334</c:v>
                </c:pt>
                <c:pt idx="4">
                  <c:v>0.6</c:v>
                </c:pt>
                <c:pt idx="5">
                  <c:v>0.6166666666666667</c:v>
                </c:pt>
                <c:pt idx="6">
                  <c:v>0.6333333333333333</c:v>
                </c:pt>
                <c:pt idx="7">
                  <c:v>0.65</c:v>
                </c:pt>
                <c:pt idx="8">
                  <c:v>0.6666666666666666</c:v>
                </c:pt>
                <c:pt idx="9">
                  <c:v>0.6833333333333333</c:v>
                </c:pt>
                <c:pt idx="10">
                  <c:v>0.7</c:v>
                </c:pt>
                <c:pt idx="11">
                  <c:v>0.7166666666666667</c:v>
                </c:pt>
                <c:pt idx="12">
                  <c:v>0.7333333333333333</c:v>
                </c:pt>
                <c:pt idx="13">
                  <c:v>0.75</c:v>
                </c:pt>
                <c:pt idx="14">
                  <c:v>0.7666666666666667</c:v>
                </c:pt>
                <c:pt idx="15">
                  <c:v>0.7833333333333333</c:v>
                </c:pt>
                <c:pt idx="16">
                  <c:v>0.8</c:v>
                </c:pt>
                <c:pt idx="17">
                  <c:v>0.8166666666666667</c:v>
                </c:pt>
                <c:pt idx="18">
                  <c:v>0.8333333333333334</c:v>
                </c:pt>
                <c:pt idx="19">
                  <c:v>0.85</c:v>
                </c:pt>
                <c:pt idx="20">
                  <c:v>0.8666666666666667</c:v>
                </c:pt>
                <c:pt idx="21">
                  <c:v>0.8833333333333333</c:v>
                </c:pt>
                <c:pt idx="22">
                  <c:v>0.9</c:v>
                </c:pt>
                <c:pt idx="23">
                  <c:v>0.9166666666666666</c:v>
                </c:pt>
                <c:pt idx="24">
                  <c:v>0.9333333333333333</c:v>
                </c:pt>
                <c:pt idx="25">
                  <c:v>0.95</c:v>
                </c:pt>
                <c:pt idx="26">
                  <c:v>0.9666666666666667</c:v>
                </c:pt>
                <c:pt idx="27">
                  <c:v>0.9833333333333333</c:v>
                </c:pt>
                <c:pt idx="28">
                  <c:v>1</c:v>
                </c:pt>
                <c:pt idx="29">
                  <c:v>1.0166666666666666</c:v>
                </c:pt>
                <c:pt idx="30">
                  <c:v>1.0333333333333334</c:v>
                </c:pt>
                <c:pt idx="31">
                  <c:v>1.05</c:v>
                </c:pt>
                <c:pt idx="32">
                  <c:v>1.0666666666666667</c:v>
                </c:pt>
                <c:pt idx="33">
                  <c:v>1.0833333333333333</c:v>
                </c:pt>
                <c:pt idx="34">
                  <c:v>1.1</c:v>
                </c:pt>
                <c:pt idx="35">
                  <c:v>1.1166666666666667</c:v>
                </c:pt>
                <c:pt idx="36">
                  <c:v>1.1333333333333333</c:v>
                </c:pt>
                <c:pt idx="37">
                  <c:v>1.15</c:v>
                </c:pt>
                <c:pt idx="38">
                  <c:v>1.1666666666666667</c:v>
                </c:pt>
                <c:pt idx="39">
                  <c:v>1.1833333333333333</c:v>
                </c:pt>
                <c:pt idx="40">
                  <c:v>1.2</c:v>
                </c:pt>
                <c:pt idx="41">
                  <c:v>1.2166666666666666</c:v>
                </c:pt>
                <c:pt idx="42">
                  <c:v>1.2333333333333334</c:v>
                </c:pt>
                <c:pt idx="43">
                  <c:v>1.25</c:v>
                </c:pt>
                <c:pt idx="44">
                  <c:v>1.2666666666666666</c:v>
                </c:pt>
                <c:pt idx="45">
                  <c:v>1.2833333333333334</c:v>
                </c:pt>
                <c:pt idx="46">
                  <c:v>1.3</c:v>
                </c:pt>
                <c:pt idx="47">
                  <c:v>1.3166666666666667</c:v>
                </c:pt>
                <c:pt idx="48">
                  <c:v>1.3333333333333333</c:v>
                </c:pt>
                <c:pt idx="49">
                  <c:v>1.35</c:v>
                </c:pt>
                <c:pt idx="50">
                  <c:v>1.3666666666666667</c:v>
                </c:pt>
                <c:pt idx="51">
                  <c:v>1.3833333333333333</c:v>
                </c:pt>
                <c:pt idx="52">
                  <c:v>1.4</c:v>
                </c:pt>
                <c:pt idx="53">
                  <c:v>1.4166666666666667</c:v>
                </c:pt>
                <c:pt idx="54">
                  <c:v>1.4333333333333333</c:v>
                </c:pt>
                <c:pt idx="55">
                  <c:v>1.45</c:v>
                </c:pt>
                <c:pt idx="56">
                  <c:v>1.4666666666666666</c:v>
                </c:pt>
                <c:pt idx="57">
                  <c:v>1.4833333333333334</c:v>
                </c:pt>
                <c:pt idx="58">
                  <c:v>1.5</c:v>
                </c:pt>
                <c:pt idx="59">
                  <c:v>1.5166666666666666</c:v>
                </c:pt>
                <c:pt idx="60">
                  <c:v>1.5333333333333334</c:v>
                </c:pt>
                <c:pt idx="61">
                  <c:v>1.55</c:v>
                </c:pt>
                <c:pt idx="62">
                  <c:v>1.5666666666666667</c:v>
                </c:pt>
                <c:pt idx="63">
                  <c:v>1.5833333333333333</c:v>
                </c:pt>
                <c:pt idx="64">
                  <c:v>1.6</c:v>
                </c:pt>
                <c:pt idx="65">
                  <c:v>1.6166666666666667</c:v>
                </c:pt>
                <c:pt idx="66">
                  <c:v>1.6333333333333333</c:v>
                </c:pt>
                <c:pt idx="67">
                  <c:v>1.65</c:v>
                </c:pt>
                <c:pt idx="68">
                  <c:v>1.6666666666666667</c:v>
                </c:pt>
                <c:pt idx="69">
                  <c:v>1.6833333333333333</c:v>
                </c:pt>
                <c:pt idx="70">
                  <c:v>1.7</c:v>
                </c:pt>
              </c:numCache>
            </c:numRef>
          </c:cat>
          <c:val>
            <c:numRef>
              <c:f>'option-table'!$F$4:$F$74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0.016666666666666666</c:v>
                </c:pt>
                <c:pt idx="30">
                  <c:v>0.03333333333333333</c:v>
                </c:pt>
                <c:pt idx="31">
                  <c:v>0.05</c:v>
                </c:pt>
                <c:pt idx="32">
                  <c:v>0.06666666666666667</c:v>
                </c:pt>
                <c:pt idx="33">
                  <c:v>0.08333333333333333</c:v>
                </c:pt>
                <c:pt idx="34">
                  <c:v>0.1</c:v>
                </c:pt>
                <c:pt idx="35">
                  <c:v>0.11666666666666667</c:v>
                </c:pt>
                <c:pt idx="36">
                  <c:v>0.13333333333333333</c:v>
                </c:pt>
                <c:pt idx="37">
                  <c:v>0.15</c:v>
                </c:pt>
                <c:pt idx="38">
                  <c:v>0.16666666666666666</c:v>
                </c:pt>
                <c:pt idx="39">
                  <c:v>0.18333333333333332</c:v>
                </c:pt>
                <c:pt idx="40">
                  <c:v>0.2</c:v>
                </c:pt>
                <c:pt idx="41">
                  <c:v>0.21666666666666667</c:v>
                </c:pt>
                <c:pt idx="42">
                  <c:v>0.23333333333333334</c:v>
                </c:pt>
                <c:pt idx="43">
                  <c:v>0.25</c:v>
                </c:pt>
                <c:pt idx="44">
                  <c:v>0.26666666666666666</c:v>
                </c:pt>
                <c:pt idx="45">
                  <c:v>0.2833333333333333</c:v>
                </c:pt>
                <c:pt idx="46">
                  <c:v>0.3</c:v>
                </c:pt>
                <c:pt idx="47">
                  <c:v>0.31666666666666665</c:v>
                </c:pt>
                <c:pt idx="48">
                  <c:v>0.3333333333333333</c:v>
                </c:pt>
                <c:pt idx="49">
                  <c:v>0.35</c:v>
                </c:pt>
                <c:pt idx="50">
                  <c:v>0.36666666666666664</c:v>
                </c:pt>
                <c:pt idx="51">
                  <c:v>0.38333333333333336</c:v>
                </c:pt>
                <c:pt idx="52">
                  <c:v>0.4</c:v>
                </c:pt>
                <c:pt idx="53">
                  <c:v>0.4166666666666667</c:v>
                </c:pt>
                <c:pt idx="54">
                  <c:v>0.43333333333333335</c:v>
                </c:pt>
                <c:pt idx="55">
                  <c:v>0.45</c:v>
                </c:pt>
                <c:pt idx="56">
                  <c:v>0.4666666666666667</c:v>
                </c:pt>
                <c:pt idx="57">
                  <c:v>0.48333333333333334</c:v>
                </c:pt>
                <c:pt idx="58">
                  <c:v>0.5</c:v>
                </c:pt>
                <c:pt idx="59">
                  <c:v>0.5166666666666667</c:v>
                </c:pt>
                <c:pt idx="60">
                  <c:v>0.5333333333333333</c:v>
                </c:pt>
                <c:pt idx="61">
                  <c:v>0.55</c:v>
                </c:pt>
                <c:pt idx="62">
                  <c:v>0.5666666666666667</c:v>
                </c:pt>
                <c:pt idx="63">
                  <c:v>0.5833333333333334</c:v>
                </c:pt>
                <c:pt idx="64">
                  <c:v>0.6</c:v>
                </c:pt>
                <c:pt idx="65">
                  <c:v>0.6166666666666667</c:v>
                </c:pt>
                <c:pt idx="66">
                  <c:v>0.6333333333333333</c:v>
                </c:pt>
                <c:pt idx="67">
                  <c:v>0.65</c:v>
                </c:pt>
                <c:pt idx="68">
                  <c:v>0.6666666666666666</c:v>
                </c:pt>
                <c:pt idx="69">
                  <c:v>0.6833333333333333</c:v>
                </c:pt>
                <c:pt idx="70">
                  <c:v>0.7</c:v>
                </c:pt>
              </c:numCache>
            </c:numRef>
          </c:val>
          <c:smooth val="0"/>
        </c:ser>
        <c:axId val="8223603"/>
        <c:axId val="6903564"/>
      </c:lineChart>
      <c:catAx>
        <c:axId val="8223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Ratio V/I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903564"/>
        <c:crosses val="autoZero"/>
        <c:auto val="0"/>
        <c:lblOffset val="100"/>
        <c:tickLblSkip val="5"/>
        <c:tickMarkSkip val="5"/>
        <c:noMultiLvlLbl val="0"/>
      </c:catAx>
      <c:valAx>
        <c:axId val="6903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Ratio F/I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8223603"/>
        <c:crossesAt val="1"/>
        <c:crossBetween val="midCat"/>
        <c:dispUnits/>
        <c:majorUnit val="0.1"/>
      </c:valAx>
      <c:spPr>
        <a:pattFill prst="pct50">
          <a:fgClr>
            <a:srgbClr val="C0C0C0"/>
          </a:fgClr>
          <a:bgClr>
            <a:srgbClr val="FFFFFF"/>
          </a:bgClr>
        </a:pattFill>
        <a:ln w="12700">
          <a:solidFill>
            <a:srgbClr val="969696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War of Attrition Game Window x Time</a:t>
            </a:r>
          </a:p>
        </c:rich>
      </c:tx>
      <c:layout>
        <c:manualLayout>
          <c:xMode val="factor"/>
          <c:yMode val="factor"/>
          <c:x val="0.00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65"/>
          <c:w val="0.92725"/>
          <c:h val="0.87475"/>
        </c:manualLayout>
      </c:layout>
      <c:scatterChart>
        <c:scatterStyle val="smooth"/>
        <c:varyColors val="0"/>
        <c:ser>
          <c:idx val="1"/>
          <c:order val="0"/>
          <c:tx>
            <c:strRef>
              <c:f>'option-table'!$AB$4</c:f>
              <c:strCache>
                <c:ptCount val="1"/>
                <c:pt idx="0">
                  <c:v>PS  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'option-table'!$Z$5:$Z$19</c:f>
              <c:numCache/>
            </c:numRef>
          </c:xVal>
          <c:yVal>
            <c:numRef>
              <c:f>'option-table'!$AB$5:$AB$19</c:f>
              <c:numCache/>
            </c:numRef>
          </c:yVal>
          <c:smooth val="1"/>
        </c:ser>
        <c:ser>
          <c:idx val="0"/>
          <c:order val="1"/>
          <c:tx>
            <c:strRef>
              <c:f>'option-table'!$AA$4</c:f>
              <c:strCache>
                <c:ptCount val="1"/>
                <c:pt idx="0">
                  <c:v>P**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'option-table'!$Z$5:$Z$19</c:f>
              <c:numCache/>
            </c:numRef>
          </c:xVal>
          <c:yVal>
            <c:numRef>
              <c:f>'option-table'!$AA$5:$AA$19</c:f>
              <c:numCache/>
            </c:numRef>
          </c:yVal>
          <c:smooth val="1"/>
        </c:ser>
        <c:axId val="62132077"/>
        <c:axId val="22317782"/>
      </c:scatterChart>
      <c:valAx>
        <c:axId val="62132077"/>
        <c:scaling>
          <c:orientation val="minMax"/>
          <c:max val="2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(years)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317782"/>
        <c:crosses val="autoZero"/>
        <c:crossBetween val="midCat"/>
        <c:dispUnits/>
        <c:majorUnit val="0.2"/>
      </c:valAx>
      <c:valAx>
        <c:axId val="22317782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Oil Price Thresholds ($/bbl)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132077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4"/>
          <c:y val="0.53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War of Attrition and Bargaining Game Windows x Time</a:t>
            </a:r>
          </a:p>
        </c:rich>
      </c:tx>
      <c:layout>
        <c:manualLayout>
          <c:xMode val="factor"/>
          <c:yMode val="factor"/>
          <c:x val="0.00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6475"/>
          <c:w val="0.92725"/>
          <c:h val="0.87525"/>
        </c:manualLayout>
      </c:layout>
      <c:scatterChart>
        <c:scatterStyle val="smooth"/>
        <c:varyColors val="0"/>
        <c:ser>
          <c:idx val="1"/>
          <c:order val="0"/>
          <c:tx>
            <c:strRef>
              <c:f>'option-table'!$AB$4</c:f>
              <c:strCache>
                <c:ptCount val="1"/>
                <c:pt idx="0">
                  <c:v>PS  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'option-table'!$Z$5:$Z$19</c:f>
              <c:numCache/>
            </c:numRef>
          </c:xVal>
          <c:yVal>
            <c:numRef>
              <c:f>'option-table'!$AB$5:$AB$19</c:f>
              <c:numCache/>
            </c:numRef>
          </c:yVal>
          <c:smooth val="1"/>
        </c:ser>
        <c:ser>
          <c:idx val="0"/>
          <c:order val="1"/>
          <c:tx>
            <c:strRef>
              <c:f>'option-table'!$AA$4</c:f>
              <c:strCache>
                <c:ptCount val="1"/>
                <c:pt idx="0">
                  <c:v>P**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'option-table'!$Z$5:$Z$19</c:f>
              <c:numCache/>
            </c:numRef>
          </c:xVal>
          <c:yVal>
            <c:numRef>
              <c:f>'option-table'!$AA$5:$AA$19</c:f>
              <c:numCache/>
            </c:numRef>
          </c:yVal>
          <c:smooth val="1"/>
        </c:ser>
        <c:ser>
          <c:idx val="2"/>
          <c:order val="2"/>
          <c:tx>
            <c:strRef>
              <c:f>'option-table'!$AD$4</c:f>
              <c:strCache>
                <c:ptCount val="1"/>
                <c:pt idx="0">
                  <c:v>PU_inf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'option-table'!$Z$5:$Z$19</c:f>
              <c:numCache/>
            </c:numRef>
          </c:xVal>
          <c:yVal>
            <c:numRef>
              <c:f>'option-table'!$AD$5:$AD$19</c:f>
              <c:numCache/>
            </c:numRef>
          </c:yVal>
          <c:smooth val="1"/>
        </c:ser>
        <c:ser>
          <c:idx val="3"/>
          <c:order val="3"/>
          <c:tx>
            <c:strRef>
              <c:f>'option-table'!$AE$4</c:f>
              <c:strCache>
                <c:ptCount val="1"/>
                <c:pt idx="0">
                  <c:v>PU_sup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'option-table'!$Z$5:$Z$19</c:f>
              <c:numCache/>
            </c:numRef>
          </c:xVal>
          <c:yVal>
            <c:numRef>
              <c:f>'option-table'!$AE$5:$AE$19</c:f>
              <c:numCache/>
            </c:numRef>
          </c:yVal>
          <c:smooth val="1"/>
        </c:ser>
        <c:axId val="66642311"/>
        <c:axId val="62909888"/>
      </c:scatterChart>
      <c:valAx>
        <c:axId val="66642311"/>
        <c:scaling>
          <c:orientation val="minMax"/>
          <c:max val="2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(years)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909888"/>
        <c:crosses val="autoZero"/>
        <c:crossBetween val="midCat"/>
        <c:dispUnits/>
        <c:majorUnit val="0.2"/>
      </c:valAx>
      <c:valAx>
        <c:axId val="62909888"/>
        <c:scaling>
          <c:orientation val="minMax"/>
          <c:max val="38"/>
          <c:min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Oil Price Thresholds ($/bbl)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642311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5"/>
          <c:y val="0.553"/>
          <c:w val="0.15225"/>
          <c:h val="0.283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Leader, Follower, and (traditional) Exploratory Option  x  Oil Price</a:t>
            </a:r>
          </a:p>
        </c:rich>
      </c:tx>
      <c:layout>
        <c:manualLayout>
          <c:xMode val="factor"/>
          <c:yMode val="factor"/>
          <c:x val="0.023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48"/>
          <c:w val="0.95725"/>
          <c:h val="0.90125"/>
        </c:manualLayout>
      </c:layout>
      <c:scatterChart>
        <c:scatterStyle val="smooth"/>
        <c:varyColors val="0"/>
        <c:ser>
          <c:idx val="2"/>
          <c:order val="0"/>
          <c:tx>
            <c:strRef>
              <c:f>'option-table'!$H$3</c:f>
              <c:strCache>
                <c:ptCount val="1"/>
                <c:pt idx="0">
                  <c:v>Follower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'option-table'!$B$4:$B$60</c:f>
              <c:numCache>
                <c:ptCount val="57"/>
                <c:pt idx="0">
                  <c:v>16</c:v>
                </c:pt>
                <c:pt idx="1">
                  <c:v>16.5</c:v>
                </c:pt>
                <c:pt idx="2">
                  <c:v>17</c:v>
                </c:pt>
                <c:pt idx="3">
                  <c:v>17.5</c:v>
                </c:pt>
                <c:pt idx="4">
                  <c:v>18</c:v>
                </c:pt>
                <c:pt idx="5">
                  <c:v>18.5</c:v>
                </c:pt>
                <c:pt idx="6">
                  <c:v>19</c:v>
                </c:pt>
                <c:pt idx="7">
                  <c:v>19.5</c:v>
                </c:pt>
                <c:pt idx="8">
                  <c:v>20</c:v>
                </c:pt>
                <c:pt idx="9">
                  <c:v>20.5</c:v>
                </c:pt>
                <c:pt idx="10">
                  <c:v>21</c:v>
                </c:pt>
                <c:pt idx="11">
                  <c:v>21.5</c:v>
                </c:pt>
                <c:pt idx="12">
                  <c:v>22</c:v>
                </c:pt>
                <c:pt idx="13">
                  <c:v>22.5</c:v>
                </c:pt>
                <c:pt idx="14">
                  <c:v>23</c:v>
                </c:pt>
                <c:pt idx="15">
                  <c:v>23.5</c:v>
                </c:pt>
                <c:pt idx="16">
                  <c:v>24</c:v>
                </c:pt>
                <c:pt idx="17">
                  <c:v>24.5</c:v>
                </c:pt>
                <c:pt idx="18">
                  <c:v>25</c:v>
                </c:pt>
                <c:pt idx="19">
                  <c:v>25.5</c:v>
                </c:pt>
                <c:pt idx="20">
                  <c:v>26</c:v>
                </c:pt>
                <c:pt idx="21">
                  <c:v>26.5</c:v>
                </c:pt>
                <c:pt idx="22">
                  <c:v>27</c:v>
                </c:pt>
                <c:pt idx="23">
                  <c:v>27.5</c:v>
                </c:pt>
                <c:pt idx="24">
                  <c:v>28</c:v>
                </c:pt>
                <c:pt idx="25">
                  <c:v>28.5</c:v>
                </c:pt>
                <c:pt idx="26">
                  <c:v>29</c:v>
                </c:pt>
                <c:pt idx="27">
                  <c:v>29.5</c:v>
                </c:pt>
                <c:pt idx="28">
                  <c:v>30</c:v>
                </c:pt>
                <c:pt idx="29">
                  <c:v>30.5</c:v>
                </c:pt>
                <c:pt idx="30">
                  <c:v>31</c:v>
                </c:pt>
                <c:pt idx="31">
                  <c:v>31.5</c:v>
                </c:pt>
                <c:pt idx="32">
                  <c:v>32</c:v>
                </c:pt>
                <c:pt idx="33">
                  <c:v>32.5</c:v>
                </c:pt>
                <c:pt idx="34">
                  <c:v>33</c:v>
                </c:pt>
                <c:pt idx="35">
                  <c:v>33.5</c:v>
                </c:pt>
                <c:pt idx="36">
                  <c:v>34</c:v>
                </c:pt>
                <c:pt idx="37">
                  <c:v>34.5</c:v>
                </c:pt>
                <c:pt idx="38">
                  <c:v>35</c:v>
                </c:pt>
                <c:pt idx="39">
                  <c:v>35.5</c:v>
                </c:pt>
                <c:pt idx="40">
                  <c:v>36</c:v>
                </c:pt>
                <c:pt idx="41">
                  <c:v>36.5</c:v>
                </c:pt>
                <c:pt idx="42">
                  <c:v>37</c:v>
                </c:pt>
                <c:pt idx="43">
                  <c:v>37.5</c:v>
                </c:pt>
                <c:pt idx="44">
                  <c:v>38</c:v>
                </c:pt>
                <c:pt idx="45">
                  <c:v>38.5</c:v>
                </c:pt>
                <c:pt idx="46">
                  <c:v>39</c:v>
                </c:pt>
                <c:pt idx="47">
                  <c:v>39.5</c:v>
                </c:pt>
                <c:pt idx="48">
                  <c:v>40</c:v>
                </c:pt>
                <c:pt idx="49">
                  <c:v>40.5</c:v>
                </c:pt>
                <c:pt idx="50">
                  <c:v>41</c:v>
                </c:pt>
                <c:pt idx="51">
                  <c:v>41.5</c:v>
                </c:pt>
                <c:pt idx="52">
                  <c:v>42</c:v>
                </c:pt>
                <c:pt idx="53">
                  <c:v>42.5</c:v>
                </c:pt>
                <c:pt idx="54">
                  <c:v>43</c:v>
                </c:pt>
                <c:pt idx="55">
                  <c:v>43.5</c:v>
                </c:pt>
                <c:pt idx="56">
                  <c:v>44</c:v>
                </c:pt>
              </c:numCache>
            </c:numRef>
          </c:xVal>
          <c:yVal>
            <c:numRef>
              <c:f>'option-table'!$H$4:$H$74</c:f>
              <c:numCache>
                <c:ptCount val="71"/>
                <c:pt idx="0">
                  <c:v>0.5516472890615841</c:v>
                </c:pt>
                <c:pt idx="1">
                  <c:v>0.7787347453369188</c:v>
                </c:pt>
                <c:pt idx="2">
                  <c:v>1.0726618331487596</c:v>
                </c:pt>
                <c:pt idx="3">
                  <c:v>1.444795327458703</c:v>
                </c:pt>
                <c:pt idx="4">
                  <c:v>1.9065596474459532</c:v>
                </c:pt>
                <c:pt idx="5">
                  <c:v>2.4691201868874555</c:v>
                </c:pt>
                <c:pt idx="6">
                  <c:v>3.1430825595400393</c:v>
                </c:pt>
                <c:pt idx="7">
                  <c:v>3.938223487582863</c:v>
                </c:pt>
                <c:pt idx="8">
                  <c:v>4.863265417008364</c:v>
                </c:pt>
                <c:pt idx="9">
                  <c:v>5.925702979098784</c:v>
                </c:pt>
                <c:pt idx="10">
                  <c:v>7.131685546565175</c:v>
                </c:pt>
                <c:pt idx="11">
                  <c:v>8.485929219629678</c:v>
                </c:pt>
                <c:pt idx="12">
                  <c:v>9.991652668345871</c:v>
                </c:pt>
                <c:pt idx="13">
                  <c:v>11.650691890482841</c:v>
                </c:pt>
                <c:pt idx="14">
                  <c:v>13.463527346970256</c:v>
                </c:pt>
                <c:pt idx="15">
                  <c:v>15.429317167079322</c:v>
                </c:pt>
                <c:pt idx="16">
                  <c:v>17.546071347773363</c:v>
                </c:pt>
                <c:pt idx="17">
                  <c:v>19.810781268824925</c:v>
                </c:pt>
                <c:pt idx="18">
                  <c:v>22.219556530624274</c:v>
                </c:pt>
                <c:pt idx="19">
                  <c:v>24.767701513491183</c:v>
                </c:pt>
                <c:pt idx="20">
                  <c:v>27.44993819644424</c:v>
                </c:pt>
                <c:pt idx="21">
                  <c:v>30.260551123441697</c:v>
                </c:pt>
                <c:pt idx="22">
                  <c:v>33.19347173116522</c:v>
                </c:pt>
                <c:pt idx="23">
                  <c:v>36.242382572498784</c:v>
                </c:pt>
                <c:pt idx="24">
                  <c:v>39.400870070731315</c:v>
                </c:pt>
                <c:pt idx="25">
                  <c:v>42.7442673400121</c:v>
                </c:pt>
                <c:pt idx="26">
                  <c:v>46.21574353590023</c:v>
                </c:pt>
                <c:pt idx="27">
                  <c:v>49.74845733448805</c:v>
                </c:pt>
                <c:pt idx="28">
                  <c:v>53.33894634978866</c:v>
                </c:pt>
                <c:pt idx="29">
                  <c:v>56.98374609353091</c:v>
                </c:pt>
                <c:pt idx="30">
                  <c:v>60.67943280767498</c:v>
                </c:pt>
                <c:pt idx="31">
                  <c:v>64.42266789215667</c:v>
                </c:pt>
                <c:pt idx="32">
                  <c:v>68.21021645852103</c:v>
                </c:pt>
                <c:pt idx="33">
                  <c:v>72.03897155283127</c:v>
                </c:pt>
                <c:pt idx="34">
                  <c:v>75.90598532999269</c:v>
                </c:pt>
                <c:pt idx="35">
                  <c:v>79.93774629136908</c:v>
                </c:pt>
                <c:pt idx="36">
                  <c:v>84.00951467253093</c:v>
                </c:pt>
                <c:pt idx="37">
                  <c:v>88.08128305369272</c:v>
                </c:pt>
                <c:pt idx="38">
                  <c:v>92.15305143485453</c:v>
                </c:pt>
                <c:pt idx="39">
                  <c:v>96.22481981601635</c:v>
                </c:pt>
                <c:pt idx="40">
                  <c:v>100.29658819717815</c:v>
                </c:pt>
                <c:pt idx="41">
                  <c:v>104.36835657833998</c:v>
                </c:pt>
                <c:pt idx="42">
                  <c:v>108.44012495950182</c:v>
                </c:pt>
                <c:pt idx="43">
                  <c:v>112.51189334066362</c:v>
                </c:pt>
                <c:pt idx="44">
                  <c:v>116.58366172182544</c:v>
                </c:pt>
                <c:pt idx="45">
                  <c:v>120.65543010298728</c:v>
                </c:pt>
                <c:pt idx="46">
                  <c:v>124.72719848414908</c:v>
                </c:pt>
                <c:pt idx="47">
                  <c:v>128.7989668653109</c:v>
                </c:pt>
                <c:pt idx="48">
                  <c:v>132.87073524647272</c:v>
                </c:pt>
                <c:pt idx="49">
                  <c:v>136.94250362763455</c:v>
                </c:pt>
                <c:pt idx="50">
                  <c:v>141.01427200879635</c:v>
                </c:pt>
                <c:pt idx="51">
                  <c:v>145.08604038995819</c:v>
                </c:pt>
                <c:pt idx="52">
                  <c:v>149.15780877112002</c:v>
                </c:pt>
                <c:pt idx="53">
                  <c:v>153.22957715228182</c:v>
                </c:pt>
                <c:pt idx="54">
                  <c:v>157.30134553344362</c:v>
                </c:pt>
                <c:pt idx="55">
                  <c:v>161.37311391460545</c:v>
                </c:pt>
                <c:pt idx="56">
                  <c:v>165.4448822957673</c:v>
                </c:pt>
                <c:pt idx="57">
                  <c:v>169.5166506769291</c:v>
                </c:pt>
                <c:pt idx="58">
                  <c:v>173.58841905809086</c:v>
                </c:pt>
                <c:pt idx="59">
                  <c:v>177.66018743925272</c:v>
                </c:pt>
                <c:pt idx="60">
                  <c:v>181.73195582041456</c:v>
                </c:pt>
                <c:pt idx="61">
                  <c:v>185.80372420157633</c:v>
                </c:pt>
                <c:pt idx="62">
                  <c:v>189.87549258273822</c:v>
                </c:pt>
                <c:pt idx="63">
                  <c:v>193.94726096389994</c:v>
                </c:pt>
                <c:pt idx="64">
                  <c:v>198.01902934506182</c:v>
                </c:pt>
                <c:pt idx="65">
                  <c:v>202.09079772622363</c:v>
                </c:pt>
                <c:pt idx="66">
                  <c:v>206.16256610738543</c:v>
                </c:pt>
                <c:pt idx="67">
                  <c:v>210.23433448854726</c:v>
                </c:pt>
                <c:pt idx="68">
                  <c:v>214.3061028697091</c:v>
                </c:pt>
                <c:pt idx="69">
                  <c:v>218.3778712508709</c:v>
                </c:pt>
                <c:pt idx="70">
                  <c:v>222.44963963203273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'option-table'!$I$3</c:f>
              <c:strCache>
                <c:ptCount val="1"/>
                <c:pt idx="0">
                  <c:v>Exploratory Option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'option-table'!$B$4:$B$60</c:f>
              <c:numCache>
                <c:ptCount val="57"/>
                <c:pt idx="0">
                  <c:v>16</c:v>
                </c:pt>
                <c:pt idx="1">
                  <c:v>16.5</c:v>
                </c:pt>
                <c:pt idx="2">
                  <c:v>17</c:v>
                </c:pt>
                <c:pt idx="3">
                  <c:v>17.5</c:v>
                </c:pt>
                <c:pt idx="4">
                  <c:v>18</c:v>
                </c:pt>
                <c:pt idx="5">
                  <c:v>18.5</c:v>
                </c:pt>
                <c:pt idx="6">
                  <c:v>19</c:v>
                </c:pt>
                <c:pt idx="7">
                  <c:v>19.5</c:v>
                </c:pt>
                <c:pt idx="8">
                  <c:v>20</c:v>
                </c:pt>
                <c:pt idx="9">
                  <c:v>20.5</c:v>
                </c:pt>
                <c:pt idx="10">
                  <c:v>21</c:v>
                </c:pt>
                <c:pt idx="11">
                  <c:v>21.5</c:v>
                </c:pt>
                <c:pt idx="12">
                  <c:v>22</c:v>
                </c:pt>
                <c:pt idx="13">
                  <c:v>22.5</c:v>
                </c:pt>
                <c:pt idx="14">
                  <c:v>23</c:v>
                </c:pt>
                <c:pt idx="15">
                  <c:v>23.5</c:v>
                </c:pt>
                <c:pt idx="16">
                  <c:v>24</c:v>
                </c:pt>
                <c:pt idx="17">
                  <c:v>24.5</c:v>
                </c:pt>
                <c:pt idx="18">
                  <c:v>25</c:v>
                </c:pt>
                <c:pt idx="19">
                  <c:v>25.5</c:v>
                </c:pt>
                <c:pt idx="20">
                  <c:v>26</c:v>
                </c:pt>
                <c:pt idx="21">
                  <c:v>26.5</c:v>
                </c:pt>
                <c:pt idx="22">
                  <c:v>27</c:v>
                </c:pt>
                <c:pt idx="23">
                  <c:v>27.5</c:v>
                </c:pt>
                <c:pt idx="24">
                  <c:v>28</c:v>
                </c:pt>
                <c:pt idx="25">
                  <c:v>28.5</c:v>
                </c:pt>
                <c:pt idx="26">
                  <c:v>29</c:v>
                </c:pt>
                <c:pt idx="27">
                  <c:v>29.5</c:v>
                </c:pt>
                <c:pt idx="28">
                  <c:v>30</c:v>
                </c:pt>
                <c:pt idx="29">
                  <c:v>30.5</c:v>
                </c:pt>
                <c:pt idx="30">
                  <c:v>31</c:v>
                </c:pt>
                <c:pt idx="31">
                  <c:v>31.5</c:v>
                </c:pt>
                <c:pt idx="32">
                  <c:v>32</c:v>
                </c:pt>
                <c:pt idx="33">
                  <c:v>32.5</c:v>
                </c:pt>
                <c:pt idx="34">
                  <c:v>33</c:v>
                </c:pt>
                <c:pt idx="35">
                  <c:v>33.5</c:v>
                </c:pt>
                <c:pt idx="36">
                  <c:v>34</c:v>
                </c:pt>
                <c:pt idx="37">
                  <c:v>34.5</c:v>
                </c:pt>
                <c:pt idx="38">
                  <c:v>35</c:v>
                </c:pt>
                <c:pt idx="39">
                  <c:v>35.5</c:v>
                </c:pt>
                <c:pt idx="40">
                  <c:v>36</c:v>
                </c:pt>
                <c:pt idx="41">
                  <c:v>36.5</c:v>
                </c:pt>
                <c:pt idx="42">
                  <c:v>37</c:v>
                </c:pt>
                <c:pt idx="43">
                  <c:v>37.5</c:v>
                </c:pt>
                <c:pt idx="44">
                  <c:v>38</c:v>
                </c:pt>
                <c:pt idx="45">
                  <c:v>38.5</c:v>
                </c:pt>
                <c:pt idx="46">
                  <c:v>39</c:v>
                </c:pt>
                <c:pt idx="47">
                  <c:v>39.5</c:v>
                </c:pt>
                <c:pt idx="48">
                  <c:v>40</c:v>
                </c:pt>
                <c:pt idx="49">
                  <c:v>40.5</c:v>
                </c:pt>
                <c:pt idx="50">
                  <c:v>41</c:v>
                </c:pt>
                <c:pt idx="51">
                  <c:v>41.5</c:v>
                </c:pt>
                <c:pt idx="52">
                  <c:v>42</c:v>
                </c:pt>
                <c:pt idx="53">
                  <c:v>42.5</c:v>
                </c:pt>
                <c:pt idx="54">
                  <c:v>43</c:v>
                </c:pt>
                <c:pt idx="55">
                  <c:v>43.5</c:v>
                </c:pt>
                <c:pt idx="56">
                  <c:v>44</c:v>
                </c:pt>
              </c:numCache>
            </c:numRef>
          </c:xVal>
          <c:yVal>
            <c:numRef>
              <c:f>'option-table'!$I$4:$I$60</c:f>
              <c:numCache>
                <c:ptCount val="57"/>
                <c:pt idx="0">
                  <c:v>0.383104149026686</c:v>
                </c:pt>
                <c:pt idx="1">
                  <c:v>0.5592949383498971</c:v>
                </c:pt>
                <c:pt idx="2">
                  <c:v>0.7946015011334939</c:v>
                </c:pt>
                <c:pt idx="3">
                  <c:v>1.101129965182688</c:v>
                </c:pt>
                <c:pt idx="4">
                  <c:v>1.4914453406206791</c:v>
                </c:pt>
                <c:pt idx="5">
                  <c:v>1.9781932459135445</c:v>
                </c:pt>
                <c:pt idx="6">
                  <c:v>2.573711623979873</c:v>
                </c:pt>
                <c:pt idx="7">
                  <c:v>3.2896576859971303</c:v>
                </c:pt>
                <c:pt idx="8">
                  <c:v>4.1366721980467345</c:v>
                </c:pt>
                <c:pt idx="9">
                  <c:v>5.124098503510006</c:v>
                </c:pt>
                <c:pt idx="10">
                  <c:v>6.259768117084868</c:v>
                </c:pt>
                <c:pt idx="11">
                  <c:v>7.549859042191349</c:v>
                </c:pt>
                <c:pt idx="12">
                  <c:v>8.998827724036637</c:v>
                </c:pt>
                <c:pt idx="13">
                  <c:v>10.609411152993625</c:v>
                </c:pt>
                <c:pt idx="14">
                  <c:v>12.382692296162016</c:v>
                </c:pt>
                <c:pt idx="15">
                  <c:v>14.318168589547652</c:v>
                </c:pt>
                <c:pt idx="16">
                  <c:v>16.41380465567599</c:v>
                </c:pt>
                <c:pt idx="17">
                  <c:v>18.66637465959171</c:v>
                </c:pt>
                <c:pt idx="18">
                  <c:v>21.071616777065483</c:v>
                </c:pt>
                <c:pt idx="19">
                  <c:v>23.624252701529215</c:v>
                </c:pt>
                <c:pt idx="20">
                  <c:v>26.31828625149179</c:v>
                </c:pt>
                <c:pt idx="21">
                  <c:v>29.147181549811034</c:v>
                </c:pt>
                <c:pt idx="22">
                  <c:v>32.10401770420483</c:v>
                </c:pt>
                <c:pt idx="23">
                  <c:v>35.18163405923487</c:v>
                </c:pt>
                <c:pt idx="24">
                  <c:v>38.372762626213245</c:v>
                </c:pt>
                <c:pt idx="25">
                  <c:v>41.670127095204506</c:v>
                </c:pt>
                <c:pt idx="26">
                  <c:v>45.066547499939</c:v>
                </c:pt>
                <c:pt idx="27">
                  <c:v>48.555038400997276</c:v>
                </c:pt>
                <c:pt idx="28">
                  <c:v>52.128857564987186</c:v>
                </c:pt>
                <c:pt idx="29">
                  <c:v>55.781567091265785</c:v>
                </c:pt>
                <c:pt idx="30">
                  <c:v>59.57890438555998</c:v>
                </c:pt>
                <c:pt idx="31">
                  <c:v>63.65067276672178</c:v>
                </c:pt>
                <c:pt idx="32">
                  <c:v>67.72244114788364</c:v>
                </c:pt>
                <c:pt idx="33">
                  <c:v>71.79420952904545</c:v>
                </c:pt>
                <c:pt idx="34">
                  <c:v>75.86597791020725</c:v>
                </c:pt>
                <c:pt idx="35">
                  <c:v>79.93774629136905</c:v>
                </c:pt>
                <c:pt idx="36">
                  <c:v>84.00951467253091</c:v>
                </c:pt>
                <c:pt idx="37">
                  <c:v>88.08128305369272</c:v>
                </c:pt>
                <c:pt idx="38">
                  <c:v>92.15305143485452</c:v>
                </c:pt>
                <c:pt idx="39">
                  <c:v>96.22481981601632</c:v>
                </c:pt>
                <c:pt idx="40">
                  <c:v>100.29658819717818</c:v>
                </c:pt>
                <c:pt idx="41">
                  <c:v>104.36835657833998</c:v>
                </c:pt>
                <c:pt idx="42">
                  <c:v>108.44012495950179</c:v>
                </c:pt>
                <c:pt idx="43">
                  <c:v>112.51189334066359</c:v>
                </c:pt>
                <c:pt idx="44">
                  <c:v>116.58366172182545</c:v>
                </c:pt>
                <c:pt idx="45">
                  <c:v>120.65543010298725</c:v>
                </c:pt>
                <c:pt idx="46">
                  <c:v>124.72719848414906</c:v>
                </c:pt>
                <c:pt idx="47">
                  <c:v>128.79896686531092</c:v>
                </c:pt>
                <c:pt idx="48">
                  <c:v>132.87073524647272</c:v>
                </c:pt>
                <c:pt idx="49">
                  <c:v>136.94250362763452</c:v>
                </c:pt>
                <c:pt idx="50">
                  <c:v>141.01427200879633</c:v>
                </c:pt>
                <c:pt idx="51">
                  <c:v>145.08604038995819</c:v>
                </c:pt>
                <c:pt idx="52">
                  <c:v>149.15780877112</c:v>
                </c:pt>
                <c:pt idx="53">
                  <c:v>153.2295771522818</c:v>
                </c:pt>
                <c:pt idx="54">
                  <c:v>157.3013455334436</c:v>
                </c:pt>
                <c:pt idx="55">
                  <c:v>161.37311391460545</c:v>
                </c:pt>
                <c:pt idx="56">
                  <c:v>165.44488229576726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'option-table'!$C$3</c:f>
              <c:strCache>
                <c:ptCount val="1"/>
                <c:pt idx="0">
                  <c:v>Leader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'option-table'!$B$4:$B$60</c:f>
              <c:numCache>
                <c:ptCount val="57"/>
                <c:pt idx="0">
                  <c:v>16</c:v>
                </c:pt>
                <c:pt idx="1">
                  <c:v>16.5</c:v>
                </c:pt>
                <c:pt idx="2">
                  <c:v>17</c:v>
                </c:pt>
                <c:pt idx="3">
                  <c:v>17.5</c:v>
                </c:pt>
                <c:pt idx="4">
                  <c:v>18</c:v>
                </c:pt>
                <c:pt idx="5">
                  <c:v>18.5</c:v>
                </c:pt>
                <c:pt idx="6">
                  <c:v>19</c:v>
                </c:pt>
                <c:pt idx="7">
                  <c:v>19.5</c:v>
                </c:pt>
                <c:pt idx="8">
                  <c:v>20</c:v>
                </c:pt>
                <c:pt idx="9">
                  <c:v>20.5</c:v>
                </c:pt>
                <c:pt idx="10">
                  <c:v>21</c:v>
                </c:pt>
                <c:pt idx="11">
                  <c:v>21.5</c:v>
                </c:pt>
                <c:pt idx="12">
                  <c:v>22</c:v>
                </c:pt>
                <c:pt idx="13">
                  <c:v>22.5</c:v>
                </c:pt>
                <c:pt idx="14">
                  <c:v>23</c:v>
                </c:pt>
                <c:pt idx="15">
                  <c:v>23.5</c:v>
                </c:pt>
                <c:pt idx="16">
                  <c:v>24</c:v>
                </c:pt>
                <c:pt idx="17">
                  <c:v>24.5</c:v>
                </c:pt>
                <c:pt idx="18">
                  <c:v>25</c:v>
                </c:pt>
                <c:pt idx="19">
                  <c:v>25.5</c:v>
                </c:pt>
                <c:pt idx="20">
                  <c:v>26</c:v>
                </c:pt>
                <c:pt idx="21">
                  <c:v>26.5</c:v>
                </c:pt>
                <c:pt idx="22">
                  <c:v>27</c:v>
                </c:pt>
                <c:pt idx="23">
                  <c:v>27.5</c:v>
                </c:pt>
                <c:pt idx="24">
                  <c:v>28</c:v>
                </c:pt>
                <c:pt idx="25">
                  <c:v>28.5</c:v>
                </c:pt>
                <c:pt idx="26">
                  <c:v>29</c:v>
                </c:pt>
                <c:pt idx="27">
                  <c:v>29.5</c:v>
                </c:pt>
                <c:pt idx="28">
                  <c:v>30</c:v>
                </c:pt>
                <c:pt idx="29">
                  <c:v>30.5</c:v>
                </c:pt>
                <c:pt idx="30">
                  <c:v>31</c:v>
                </c:pt>
                <c:pt idx="31">
                  <c:v>31.5</c:v>
                </c:pt>
                <c:pt idx="32">
                  <c:v>32</c:v>
                </c:pt>
                <c:pt idx="33">
                  <c:v>32.5</c:v>
                </c:pt>
                <c:pt idx="34">
                  <c:v>33</c:v>
                </c:pt>
                <c:pt idx="35">
                  <c:v>33.5</c:v>
                </c:pt>
                <c:pt idx="36">
                  <c:v>34</c:v>
                </c:pt>
                <c:pt idx="37">
                  <c:v>34.5</c:v>
                </c:pt>
                <c:pt idx="38">
                  <c:v>35</c:v>
                </c:pt>
                <c:pt idx="39">
                  <c:v>35.5</c:v>
                </c:pt>
                <c:pt idx="40">
                  <c:v>36</c:v>
                </c:pt>
                <c:pt idx="41">
                  <c:v>36.5</c:v>
                </c:pt>
                <c:pt idx="42">
                  <c:v>37</c:v>
                </c:pt>
                <c:pt idx="43">
                  <c:v>37.5</c:v>
                </c:pt>
                <c:pt idx="44">
                  <c:v>38</c:v>
                </c:pt>
                <c:pt idx="45">
                  <c:v>38.5</c:v>
                </c:pt>
                <c:pt idx="46">
                  <c:v>39</c:v>
                </c:pt>
                <c:pt idx="47">
                  <c:v>39.5</c:v>
                </c:pt>
                <c:pt idx="48">
                  <c:v>40</c:v>
                </c:pt>
                <c:pt idx="49">
                  <c:v>40.5</c:v>
                </c:pt>
                <c:pt idx="50">
                  <c:v>41</c:v>
                </c:pt>
                <c:pt idx="51">
                  <c:v>41.5</c:v>
                </c:pt>
                <c:pt idx="52">
                  <c:v>42</c:v>
                </c:pt>
                <c:pt idx="53">
                  <c:v>42.5</c:v>
                </c:pt>
                <c:pt idx="54">
                  <c:v>43</c:v>
                </c:pt>
                <c:pt idx="55">
                  <c:v>43.5</c:v>
                </c:pt>
                <c:pt idx="56">
                  <c:v>44</c:v>
                </c:pt>
              </c:numCache>
            </c:numRef>
          </c:xVal>
          <c:yVal>
            <c:numRef>
              <c:f>'option-table'!$C$4:$C$60</c:f>
              <c:numCache>
                <c:ptCount val="57"/>
                <c:pt idx="0">
                  <c:v>-27.884441685102058</c:v>
                </c:pt>
                <c:pt idx="1">
                  <c:v>-27.170035605260146</c:v>
                </c:pt>
                <c:pt idx="2">
                  <c:v>-26.299544177237163</c:v>
                </c:pt>
                <c:pt idx="3">
                  <c:v>-25.260222388627504</c:v>
                </c:pt>
                <c:pt idx="4">
                  <c:v>-24.04190127329372</c:v>
                </c:pt>
                <c:pt idx="5">
                  <c:v>-22.637215015053727</c:v>
                </c:pt>
                <c:pt idx="6">
                  <c:v>-21.041660000557656</c:v>
                </c:pt>
                <c:pt idx="7">
                  <c:v>-19.253500413430803</c:v>
                </c:pt>
                <c:pt idx="8">
                  <c:v>-17.273650721141614</c:v>
                </c:pt>
                <c:pt idx="9">
                  <c:v>-15.105437880853321</c:v>
                </c:pt>
                <c:pt idx="10">
                  <c:v>-12.754056968996167</c:v>
                </c:pt>
                <c:pt idx="11">
                  <c:v>-10.226419374201939</c:v>
                </c:pt>
                <c:pt idx="12">
                  <c:v>-7.530770158796688</c:v>
                </c:pt>
                <c:pt idx="13">
                  <c:v>-4.676271827955045</c:v>
                </c:pt>
                <c:pt idx="14">
                  <c:v>-1.6727012825269618</c:v>
                </c:pt>
                <c:pt idx="15">
                  <c:v>1.469830769430871</c:v>
                </c:pt>
                <c:pt idx="16">
                  <c:v>4.74111850246134</c:v>
                </c:pt>
                <c:pt idx="17">
                  <c:v>8.131050021713065</c:v>
                </c:pt>
                <c:pt idx="18">
                  <c:v>11.629812754488817</c:v>
                </c:pt>
                <c:pt idx="19">
                  <c:v>15.228001162305937</c:v>
                </c:pt>
                <c:pt idx="20">
                  <c:v>18.916741629637897</c:v>
                </c:pt>
                <c:pt idx="21">
                  <c:v>22.93298895510361</c:v>
                </c:pt>
                <c:pt idx="22">
                  <c:v>27.00475733626545</c:v>
                </c:pt>
                <c:pt idx="23">
                  <c:v>31.076525717427288</c:v>
                </c:pt>
                <c:pt idx="24">
                  <c:v>35.148294098589076</c:v>
                </c:pt>
                <c:pt idx="25">
                  <c:v>39.22006247975092</c:v>
                </c:pt>
                <c:pt idx="26">
                  <c:v>43.29183086091271</c:v>
                </c:pt>
                <c:pt idx="27">
                  <c:v>47.36359924207454</c:v>
                </c:pt>
                <c:pt idx="28">
                  <c:v>51.435367623236345</c:v>
                </c:pt>
                <c:pt idx="29">
                  <c:v>55.50713600439818</c:v>
                </c:pt>
                <c:pt idx="30">
                  <c:v>59.57890438556001</c:v>
                </c:pt>
                <c:pt idx="31">
                  <c:v>63.65067276672181</c:v>
                </c:pt>
                <c:pt idx="32">
                  <c:v>67.72244114788364</c:v>
                </c:pt>
                <c:pt idx="33">
                  <c:v>71.79420952904543</c:v>
                </c:pt>
                <c:pt idx="34">
                  <c:v>75.86597791020728</c:v>
                </c:pt>
                <c:pt idx="35">
                  <c:v>79.93774629136911</c:v>
                </c:pt>
                <c:pt idx="36">
                  <c:v>84.0095146725309</c:v>
                </c:pt>
                <c:pt idx="37">
                  <c:v>88.08128305369274</c:v>
                </c:pt>
                <c:pt idx="38">
                  <c:v>92.15305143485453</c:v>
                </c:pt>
                <c:pt idx="39">
                  <c:v>96.22481981601636</c:v>
                </c:pt>
                <c:pt idx="40">
                  <c:v>100.29658819717815</c:v>
                </c:pt>
                <c:pt idx="41">
                  <c:v>104.36835657833998</c:v>
                </c:pt>
                <c:pt idx="42">
                  <c:v>108.44012495950184</c:v>
                </c:pt>
                <c:pt idx="43">
                  <c:v>112.51189334066362</c:v>
                </c:pt>
                <c:pt idx="44">
                  <c:v>116.58366172182545</c:v>
                </c:pt>
                <c:pt idx="45">
                  <c:v>120.65543010298725</c:v>
                </c:pt>
                <c:pt idx="46">
                  <c:v>124.72719848414908</c:v>
                </c:pt>
                <c:pt idx="47">
                  <c:v>128.7989668653109</c:v>
                </c:pt>
                <c:pt idx="48">
                  <c:v>132.87073524647272</c:v>
                </c:pt>
                <c:pt idx="49">
                  <c:v>136.94250362763455</c:v>
                </c:pt>
                <c:pt idx="50">
                  <c:v>141.01427200879635</c:v>
                </c:pt>
                <c:pt idx="51">
                  <c:v>145.08604038995819</c:v>
                </c:pt>
                <c:pt idx="52">
                  <c:v>149.15780877112</c:v>
                </c:pt>
                <c:pt idx="53">
                  <c:v>153.22957715228182</c:v>
                </c:pt>
                <c:pt idx="54">
                  <c:v>157.30134553344362</c:v>
                </c:pt>
                <c:pt idx="55">
                  <c:v>161.37311391460545</c:v>
                </c:pt>
                <c:pt idx="56">
                  <c:v>165.4448822957673</c:v>
                </c:pt>
              </c:numCache>
            </c:numRef>
          </c:yVal>
          <c:smooth val="1"/>
        </c:ser>
        <c:axId val="29318081"/>
        <c:axId val="62536138"/>
      </c:scatterChart>
      <c:valAx>
        <c:axId val="29318081"/>
        <c:scaling>
          <c:orientation val="minMax"/>
          <c:max val="34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 (US$/bbl)</a:t>
                </a:r>
              </a:p>
            </c:rich>
          </c:tx>
          <c:layout>
            <c:manualLayout>
              <c:xMode val="factor"/>
              <c:yMode val="factor"/>
              <c:x val="0.002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2536138"/>
        <c:crosses val="autoZero"/>
        <c:crossBetween val="midCat"/>
        <c:dispUnits/>
        <c:majorUnit val="0.5"/>
      </c:valAx>
      <c:valAx>
        <c:axId val="62536138"/>
        <c:scaling>
          <c:orientation val="minMax"/>
          <c:max val="8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Option,  </a:t>
                </a:r>
                <a:r>
                  <a:rPr lang="en-US" cap="none" sz="900" b="1" i="0" u="none" baseline="0">
                    <a:solidFill>
                      <a:srgbClr val="0000FF"/>
                    </a:solidFill>
                  </a:rPr>
                  <a:t>Leader,</a:t>
                </a:r>
                <a:r>
                  <a:rPr lang="en-US" cap="none" sz="900" b="1" i="0" u="none" baseline="0"/>
                  <a:t>  </a:t>
                </a:r>
                <a:r>
                  <a:rPr lang="en-US" cap="none" sz="900" b="1" i="0" u="none" baseline="0">
                    <a:solidFill>
                      <a:srgbClr val="FF0000"/>
                    </a:solidFill>
                  </a:rPr>
                  <a:t>Follower </a:t>
                </a:r>
                <a:r>
                  <a:rPr lang="en-US" cap="none" sz="900" b="1" i="0" u="none" baseline="0"/>
                  <a:t>(million $)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9318081"/>
        <c:crosses val="autoZero"/>
        <c:crossBetween val="midCat"/>
        <c:dispUnits/>
      </c:valAx>
      <c:spPr>
        <a:pattFill prst="pct50">
          <a:fgClr>
            <a:srgbClr val="C0C0C0"/>
          </a:fgClr>
          <a:bgClr>
            <a:srgbClr val="FFFFFF"/>
          </a:bgClr>
        </a:patt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12575"/>
          <c:w val="0.346"/>
          <c:h val="0.1722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Leader, Follower, and (traditional) Exploratory Option  x  Oil Price</a:t>
            </a:r>
          </a:p>
        </c:rich>
      </c:tx>
      <c:layout>
        <c:manualLayout>
          <c:xMode val="factor"/>
          <c:yMode val="factor"/>
          <c:x val="0.023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4775"/>
          <c:w val="0.95875"/>
          <c:h val="0.9175"/>
        </c:manualLayout>
      </c:layout>
      <c:scatterChart>
        <c:scatterStyle val="smooth"/>
        <c:varyColors val="0"/>
        <c:ser>
          <c:idx val="2"/>
          <c:order val="0"/>
          <c:tx>
            <c:strRef>
              <c:f>'option-table'!$H$3</c:f>
              <c:strCache>
                <c:ptCount val="1"/>
                <c:pt idx="0">
                  <c:v>Follower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'option-table'!$B$4:$B$60</c:f>
              <c:numCache>
                <c:ptCount val="57"/>
                <c:pt idx="0">
                  <c:v>16</c:v>
                </c:pt>
                <c:pt idx="1">
                  <c:v>16.5</c:v>
                </c:pt>
                <c:pt idx="2">
                  <c:v>17</c:v>
                </c:pt>
                <c:pt idx="3">
                  <c:v>17.5</c:v>
                </c:pt>
                <c:pt idx="4">
                  <c:v>18</c:v>
                </c:pt>
                <c:pt idx="5">
                  <c:v>18.5</c:v>
                </c:pt>
                <c:pt idx="6">
                  <c:v>19</c:v>
                </c:pt>
                <c:pt idx="7">
                  <c:v>19.5</c:v>
                </c:pt>
                <c:pt idx="8">
                  <c:v>20</c:v>
                </c:pt>
                <c:pt idx="9">
                  <c:v>20.5</c:v>
                </c:pt>
                <c:pt idx="10">
                  <c:v>21</c:v>
                </c:pt>
                <c:pt idx="11">
                  <c:v>21.5</c:v>
                </c:pt>
                <c:pt idx="12">
                  <c:v>22</c:v>
                </c:pt>
                <c:pt idx="13">
                  <c:v>22.5</c:v>
                </c:pt>
                <c:pt idx="14">
                  <c:v>23</c:v>
                </c:pt>
                <c:pt idx="15">
                  <c:v>23.5</c:v>
                </c:pt>
                <c:pt idx="16">
                  <c:v>24</c:v>
                </c:pt>
                <c:pt idx="17">
                  <c:v>24.5</c:v>
                </c:pt>
                <c:pt idx="18">
                  <c:v>25</c:v>
                </c:pt>
                <c:pt idx="19">
                  <c:v>25.5</c:v>
                </c:pt>
                <c:pt idx="20">
                  <c:v>26</c:v>
                </c:pt>
                <c:pt idx="21">
                  <c:v>26.5</c:v>
                </c:pt>
                <c:pt idx="22">
                  <c:v>27</c:v>
                </c:pt>
                <c:pt idx="23">
                  <c:v>27.5</c:v>
                </c:pt>
                <c:pt idx="24">
                  <c:v>28</c:v>
                </c:pt>
                <c:pt idx="25">
                  <c:v>28.5</c:v>
                </c:pt>
                <c:pt idx="26">
                  <c:v>29</c:v>
                </c:pt>
                <c:pt idx="27">
                  <c:v>29.5</c:v>
                </c:pt>
                <c:pt idx="28">
                  <c:v>30</c:v>
                </c:pt>
                <c:pt idx="29">
                  <c:v>30.5</c:v>
                </c:pt>
                <c:pt idx="30">
                  <c:v>31</c:v>
                </c:pt>
                <c:pt idx="31">
                  <c:v>31.5</c:v>
                </c:pt>
                <c:pt idx="32">
                  <c:v>32</c:v>
                </c:pt>
                <c:pt idx="33">
                  <c:v>32.5</c:v>
                </c:pt>
                <c:pt idx="34">
                  <c:v>33</c:v>
                </c:pt>
                <c:pt idx="35">
                  <c:v>33.5</c:v>
                </c:pt>
                <c:pt idx="36">
                  <c:v>34</c:v>
                </c:pt>
                <c:pt idx="37">
                  <c:v>34.5</c:v>
                </c:pt>
                <c:pt idx="38">
                  <c:v>35</c:v>
                </c:pt>
                <c:pt idx="39">
                  <c:v>35.5</c:v>
                </c:pt>
                <c:pt idx="40">
                  <c:v>36</c:v>
                </c:pt>
                <c:pt idx="41">
                  <c:v>36.5</c:v>
                </c:pt>
                <c:pt idx="42">
                  <c:v>37</c:v>
                </c:pt>
                <c:pt idx="43">
                  <c:v>37.5</c:v>
                </c:pt>
                <c:pt idx="44">
                  <c:v>38</c:v>
                </c:pt>
                <c:pt idx="45">
                  <c:v>38.5</c:v>
                </c:pt>
                <c:pt idx="46">
                  <c:v>39</c:v>
                </c:pt>
                <c:pt idx="47">
                  <c:v>39.5</c:v>
                </c:pt>
                <c:pt idx="48">
                  <c:v>40</c:v>
                </c:pt>
                <c:pt idx="49">
                  <c:v>40.5</c:v>
                </c:pt>
                <c:pt idx="50">
                  <c:v>41</c:v>
                </c:pt>
                <c:pt idx="51">
                  <c:v>41.5</c:v>
                </c:pt>
                <c:pt idx="52">
                  <c:v>42</c:v>
                </c:pt>
                <c:pt idx="53">
                  <c:v>42.5</c:v>
                </c:pt>
                <c:pt idx="54">
                  <c:v>43</c:v>
                </c:pt>
                <c:pt idx="55">
                  <c:v>43.5</c:v>
                </c:pt>
                <c:pt idx="56">
                  <c:v>44</c:v>
                </c:pt>
              </c:numCache>
            </c:numRef>
          </c:xVal>
          <c:yVal>
            <c:numRef>
              <c:f>'option-table'!$H$4:$H$74</c:f>
              <c:numCache>
                <c:ptCount val="71"/>
                <c:pt idx="0">
                  <c:v>0.5516472890615841</c:v>
                </c:pt>
                <c:pt idx="1">
                  <c:v>0.7787347453369188</c:v>
                </c:pt>
                <c:pt idx="2">
                  <c:v>1.0726618331487596</c:v>
                </c:pt>
                <c:pt idx="3">
                  <c:v>1.444795327458703</c:v>
                </c:pt>
                <c:pt idx="4">
                  <c:v>1.9065596474459532</c:v>
                </c:pt>
                <c:pt idx="5">
                  <c:v>2.4691201868874555</c:v>
                </c:pt>
                <c:pt idx="6">
                  <c:v>3.1430825595400393</c:v>
                </c:pt>
                <c:pt idx="7">
                  <c:v>3.938223487582863</c:v>
                </c:pt>
                <c:pt idx="8">
                  <c:v>4.863265417008364</c:v>
                </c:pt>
                <c:pt idx="9">
                  <c:v>5.925702979098784</c:v>
                </c:pt>
                <c:pt idx="10">
                  <c:v>7.131685546565175</c:v>
                </c:pt>
                <c:pt idx="11">
                  <c:v>8.485929219629678</c:v>
                </c:pt>
                <c:pt idx="12">
                  <c:v>9.991652668345871</c:v>
                </c:pt>
                <c:pt idx="13">
                  <c:v>11.650691890482841</c:v>
                </c:pt>
                <c:pt idx="14">
                  <c:v>13.463527346970256</c:v>
                </c:pt>
                <c:pt idx="15">
                  <c:v>15.429317167079322</c:v>
                </c:pt>
                <c:pt idx="16">
                  <c:v>17.546071347773363</c:v>
                </c:pt>
                <c:pt idx="17">
                  <c:v>19.810781268824925</c:v>
                </c:pt>
                <c:pt idx="18">
                  <c:v>22.219556530624274</c:v>
                </c:pt>
                <c:pt idx="19">
                  <c:v>24.767701513491183</c:v>
                </c:pt>
                <c:pt idx="20">
                  <c:v>27.44993819644424</c:v>
                </c:pt>
                <c:pt idx="21">
                  <c:v>30.260551123441697</c:v>
                </c:pt>
                <c:pt idx="22">
                  <c:v>33.19347173116522</c:v>
                </c:pt>
                <c:pt idx="23">
                  <c:v>36.242382572498784</c:v>
                </c:pt>
                <c:pt idx="24">
                  <c:v>39.400870070731315</c:v>
                </c:pt>
                <c:pt idx="25">
                  <c:v>42.7442673400121</c:v>
                </c:pt>
                <c:pt idx="26">
                  <c:v>46.21574353590023</c:v>
                </c:pt>
                <c:pt idx="27">
                  <c:v>49.74845733448805</c:v>
                </c:pt>
                <c:pt idx="28">
                  <c:v>53.33894634978866</c:v>
                </c:pt>
                <c:pt idx="29">
                  <c:v>56.98374609353091</c:v>
                </c:pt>
                <c:pt idx="30">
                  <c:v>60.67943280767498</c:v>
                </c:pt>
                <c:pt idx="31">
                  <c:v>64.42266789215667</c:v>
                </c:pt>
                <c:pt idx="32">
                  <c:v>68.21021645852103</c:v>
                </c:pt>
                <c:pt idx="33">
                  <c:v>72.03897155283127</c:v>
                </c:pt>
                <c:pt idx="34">
                  <c:v>75.90598532999269</c:v>
                </c:pt>
                <c:pt idx="35">
                  <c:v>79.93774629136908</c:v>
                </c:pt>
                <c:pt idx="36">
                  <c:v>84.00951467253093</c:v>
                </c:pt>
                <c:pt idx="37">
                  <c:v>88.08128305369272</c:v>
                </c:pt>
                <c:pt idx="38">
                  <c:v>92.15305143485453</c:v>
                </c:pt>
                <c:pt idx="39">
                  <c:v>96.22481981601635</c:v>
                </c:pt>
                <c:pt idx="40">
                  <c:v>100.29658819717815</c:v>
                </c:pt>
                <c:pt idx="41">
                  <c:v>104.36835657833998</c:v>
                </c:pt>
                <c:pt idx="42">
                  <c:v>108.44012495950182</c:v>
                </c:pt>
                <c:pt idx="43">
                  <c:v>112.51189334066362</c:v>
                </c:pt>
                <c:pt idx="44">
                  <c:v>116.58366172182544</c:v>
                </c:pt>
                <c:pt idx="45">
                  <c:v>120.65543010298728</c:v>
                </c:pt>
                <c:pt idx="46">
                  <c:v>124.72719848414908</c:v>
                </c:pt>
                <c:pt idx="47">
                  <c:v>128.7989668653109</c:v>
                </c:pt>
                <c:pt idx="48">
                  <c:v>132.87073524647272</c:v>
                </c:pt>
                <c:pt idx="49">
                  <c:v>136.94250362763455</c:v>
                </c:pt>
                <c:pt idx="50">
                  <c:v>141.01427200879635</c:v>
                </c:pt>
                <c:pt idx="51">
                  <c:v>145.08604038995819</c:v>
                </c:pt>
                <c:pt idx="52">
                  <c:v>149.15780877112002</c:v>
                </c:pt>
                <c:pt idx="53">
                  <c:v>153.22957715228182</c:v>
                </c:pt>
                <c:pt idx="54">
                  <c:v>157.30134553344362</c:v>
                </c:pt>
                <c:pt idx="55">
                  <c:v>161.37311391460545</c:v>
                </c:pt>
                <c:pt idx="56">
                  <c:v>165.4448822957673</c:v>
                </c:pt>
                <c:pt idx="57">
                  <c:v>169.5166506769291</c:v>
                </c:pt>
                <c:pt idx="58">
                  <c:v>173.58841905809086</c:v>
                </c:pt>
                <c:pt idx="59">
                  <c:v>177.66018743925272</c:v>
                </c:pt>
                <c:pt idx="60">
                  <c:v>181.73195582041456</c:v>
                </c:pt>
                <c:pt idx="61">
                  <c:v>185.80372420157633</c:v>
                </c:pt>
                <c:pt idx="62">
                  <c:v>189.87549258273822</c:v>
                </c:pt>
                <c:pt idx="63">
                  <c:v>193.94726096389994</c:v>
                </c:pt>
                <c:pt idx="64">
                  <c:v>198.01902934506182</c:v>
                </c:pt>
                <c:pt idx="65">
                  <c:v>202.09079772622363</c:v>
                </c:pt>
                <c:pt idx="66">
                  <c:v>206.16256610738543</c:v>
                </c:pt>
                <c:pt idx="67">
                  <c:v>210.23433448854726</c:v>
                </c:pt>
                <c:pt idx="68">
                  <c:v>214.3061028697091</c:v>
                </c:pt>
                <c:pt idx="69">
                  <c:v>218.3778712508709</c:v>
                </c:pt>
                <c:pt idx="70">
                  <c:v>222.44963963203273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'option-table'!$I$3</c:f>
              <c:strCache>
                <c:ptCount val="1"/>
                <c:pt idx="0">
                  <c:v>Exploratory Option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'option-table'!$B$4:$B$60</c:f>
              <c:numCache>
                <c:ptCount val="57"/>
                <c:pt idx="0">
                  <c:v>16</c:v>
                </c:pt>
                <c:pt idx="1">
                  <c:v>16.5</c:v>
                </c:pt>
                <c:pt idx="2">
                  <c:v>17</c:v>
                </c:pt>
                <c:pt idx="3">
                  <c:v>17.5</c:v>
                </c:pt>
                <c:pt idx="4">
                  <c:v>18</c:v>
                </c:pt>
                <c:pt idx="5">
                  <c:v>18.5</c:v>
                </c:pt>
                <c:pt idx="6">
                  <c:v>19</c:v>
                </c:pt>
                <c:pt idx="7">
                  <c:v>19.5</c:v>
                </c:pt>
                <c:pt idx="8">
                  <c:v>20</c:v>
                </c:pt>
                <c:pt idx="9">
                  <c:v>20.5</c:v>
                </c:pt>
                <c:pt idx="10">
                  <c:v>21</c:v>
                </c:pt>
                <c:pt idx="11">
                  <c:v>21.5</c:v>
                </c:pt>
                <c:pt idx="12">
                  <c:v>22</c:v>
                </c:pt>
                <c:pt idx="13">
                  <c:v>22.5</c:v>
                </c:pt>
                <c:pt idx="14">
                  <c:v>23</c:v>
                </c:pt>
                <c:pt idx="15">
                  <c:v>23.5</c:v>
                </c:pt>
                <c:pt idx="16">
                  <c:v>24</c:v>
                </c:pt>
                <c:pt idx="17">
                  <c:v>24.5</c:v>
                </c:pt>
                <c:pt idx="18">
                  <c:v>25</c:v>
                </c:pt>
                <c:pt idx="19">
                  <c:v>25.5</c:v>
                </c:pt>
                <c:pt idx="20">
                  <c:v>26</c:v>
                </c:pt>
                <c:pt idx="21">
                  <c:v>26.5</c:v>
                </c:pt>
                <c:pt idx="22">
                  <c:v>27</c:v>
                </c:pt>
                <c:pt idx="23">
                  <c:v>27.5</c:v>
                </c:pt>
                <c:pt idx="24">
                  <c:v>28</c:v>
                </c:pt>
                <c:pt idx="25">
                  <c:v>28.5</c:v>
                </c:pt>
                <c:pt idx="26">
                  <c:v>29</c:v>
                </c:pt>
                <c:pt idx="27">
                  <c:v>29.5</c:v>
                </c:pt>
                <c:pt idx="28">
                  <c:v>30</c:v>
                </c:pt>
                <c:pt idx="29">
                  <c:v>30.5</c:v>
                </c:pt>
                <c:pt idx="30">
                  <c:v>31</c:v>
                </c:pt>
                <c:pt idx="31">
                  <c:v>31.5</c:v>
                </c:pt>
                <c:pt idx="32">
                  <c:v>32</c:v>
                </c:pt>
                <c:pt idx="33">
                  <c:v>32.5</c:v>
                </c:pt>
                <c:pt idx="34">
                  <c:v>33</c:v>
                </c:pt>
                <c:pt idx="35">
                  <c:v>33.5</c:v>
                </c:pt>
                <c:pt idx="36">
                  <c:v>34</c:v>
                </c:pt>
                <c:pt idx="37">
                  <c:v>34.5</c:v>
                </c:pt>
                <c:pt idx="38">
                  <c:v>35</c:v>
                </c:pt>
                <c:pt idx="39">
                  <c:v>35.5</c:v>
                </c:pt>
                <c:pt idx="40">
                  <c:v>36</c:v>
                </c:pt>
                <c:pt idx="41">
                  <c:v>36.5</c:v>
                </c:pt>
                <c:pt idx="42">
                  <c:v>37</c:v>
                </c:pt>
                <c:pt idx="43">
                  <c:v>37.5</c:v>
                </c:pt>
                <c:pt idx="44">
                  <c:v>38</c:v>
                </c:pt>
                <c:pt idx="45">
                  <c:v>38.5</c:v>
                </c:pt>
                <c:pt idx="46">
                  <c:v>39</c:v>
                </c:pt>
                <c:pt idx="47">
                  <c:v>39.5</c:v>
                </c:pt>
                <c:pt idx="48">
                  <c:v>40</c:v>
                </c:pt>
                <c:pt idx="49">
                  <c:v>40.5</c:v>
                </c:pt>
                <c:pt idx="50">
                  <c:v>41</c:v>
                </c:pt>
                <c:pt idx="51">
                  <c:v>41.5</c:v>
                </c:pt>
                <c:pt idx="52">
                  <c:v>42</c:v>
                </c:pt>
                <c:pt idx="53">
                  <c:v>42.5</c:v>
                </c:pt>
                <c:pt idx="54">
                  <c:v>43</c:v>
                </c:pt>
                <c:pt idx="55">
                  <c:v>43.5</c:v>
                </c:pt>
                <c:pt idx="56">
                  <c:v>44</c:v>
                </c:pt>
              </c:numCache>
            </c:numRef>
          </c:xVal>
          <c:yVal>
            <c:numRef>
              <c:f>'option-table'!$I$4:$I$60</c:f>
              <c:numCache>
                <c:ptCount val="57"/>
                <c:pt idx="0">
                  <c:v>0.383104149026686</c:v>
                </c:pt>
                <c:pt idx="1">
                  <c:v>0.5592949383498971</c:v>
                </c:pt>
                <c:pt idx="2">
                  <c:v>0.7946015011334939</c:v>
                </c:pt>
                <c:pt idx="3">
                  <c:v>1.101129965182688</c:v>
                </c:pt>
                <c:pt idx="4">
                  <c:v>1.4914453406206791</c:v>
                </c:pt>
                <c:pt idx="5">
                  <c:v>1.9781932459135445</c:v>
                </c:pt>
                <c:pt idx="6">
                  <c:v>2.573711623979873</c:v>
                </c:pt>
                <c:pt idx="7">
                  <c:v>3.2896576859971303</c:v>
                </c:pt>
                <c:pt idx="8">
                  <c:v>4.1366721980467345</c:v>
                </c:pt>
                <c:pt idx="9">
                  <c:v>5.124098503510006</c:v>
                </c:pt>
                <c:pt idx="10">
                  <c:v>6.259768117084868</c:v>
                </c:pt>
                <c:pt idx="11">
                  <c:v>7.549859042191349</c:v>
                </c:pt>
                <c:pt idx="12">
                  <c:v>8.998827724036637</c:v>
                </c:pt>
                <c:pt idx="13">
                  <c:v>10.609411152993625</c:v>
                </c:pt>
                <c:pt idx="14">
                  <c:v>12.382692296162016</c:v>
                </c:pt>
                <c:pt idx="15">
                  <c:v>14.318168589547652</c:v>
                </c:pt>
                <c:pt idx="16">
                  <c:v>16.41380465567599</c:v>
                </c:pt>
                <c:pt idx="17">
                  <c:v>18.66637465959171</c:v>
                </c:pt>
                <c:pt idx="18">
                  <c:v>21.071616777065483</c:v>
                </c:pt>
                <c:pt idx="19">
                  <c:v>23.624252701529215</c:v>
                </c:pt>
                <c:pt idx="20">
                  <c:v>26.31828625149179</c:v>
                </c:pt>
                <c:pt idx="21">
                  <c:v>29.147181549811034</c:v>
                </c:pt>
                <c:pt idx="22">
                  <c:v>32.10401770420483</c:v>
                </c:pt>
                <c:pt idx="23">
                  <c:v>35.18163405923487</c:v>
                </c:pt>
                <c:pt idx="24">
                  <c:v>38.372762626213245</c:v>
                </c:pt>
                <c:pt idx="25">
                  <c:v>41.670127095204506</c:v>
                </c:pt>
                <c:pt idx="26">
                  <c:v>45.066547499939</c:v>
                </c:pt>
                <c:pt idx="27">
                  <c:v>48.555038400997276</c:v>
                </c:pt>
                <c:pt idx="28">
                  <c:v>52.128857564987186</c:v>
                </c:pt>
                <c:pt idx="29">
                  <c:v>55.781567091265785</c:v>
                </c:pt>
                <c:pt idx="30">
                  <c:v>59.57890438555998</c:v>
                </c:pt>
                <c:pt idx="31">
                  <c:v>63.65067276672178</c:v>
                </c:pt>
                <c:pt idx="32">
                  <c:v>67.72244114788364</c:v>
                </c:pt>
                <c:pt idx="33">
                  <c:v>71.79420952904545</c:v>
                </c:pt>
                <c:pt idx="34">
                  <c:v>75.86597791020725</c:v>
                </c:pt>
                <c:pt idx="35">
                  <c:v>79.93774629136905</c:v>
                </c:pt>
                <c:pt idx="36">
                  <c:v>84.00951467253091</c:v>
                </c:pt>
                <c:pt idx="37">
                  <c:v>88.08128305369272</c:v>
                </c:pt>
                <c:pt idx="38">
                  <c:v>92.15305143485452</c:v>
                </c:pt>
                <c:pt idx="39">
                  <c:v>96.22481981601632</c:v>
                </c:pt>
                <c:pt idx="40">
                  <c:v>100.29658819717818</c:v>
                </c:pt>
                <c:pt idx="41">
                  <c:v>104.36835657833998</c:v>
                </c:pt>
                <c:pt idx="42">
                  <c:v>108.44012495950179</c:v>
                </c:pt>
                <c:pt idx="43">
                  <c:v>112.51189334066359</c:v>
                </c:pt>
                <c:pt idx="44">
                  <c:v>116.58366172182545</c:v>
                </c:pt>
                <c:pt idx="45">
                  <c:v>120.65543010298725</c:v>
                </c:pt>
                <c:pt idx="46">
                  <c:v>124.72719848414906</c:v>
                </c:pt>
                <c:pt idx="47">
                  <c:v>128.79896686531092</c:v>
                </c:pt>
                <c:pt idx="48">
                  <c:v>132.87073524647272</c:v>
                </c:pt>
                <c:pt idx="49">
                  <c:v>136.94250362763452</c:v>
                </c:pt>
                <c:pt idx="50">
                  <c:v>141.01427200879633</c:v>
                </c:pt>
                <c:pt idx="51">
                  <c:v>145.08604038995819</c:v>
                </c:pt>
                <c:pt idx="52">
                  <c:v>149.15780877112</c:v>
                </c:pt>
                <c:pt idx="53">
                  <c:v>153.2295771522818</c:v>
                </c:pt>
                <c:pt idx="54">
                  <c:v>157.3013455334436</c:v>
                </c:pt>
                <c:pt idx="55">
                  <c:v>161.37311391460545</c:v>
                </c:pt>
                <c:pt idx="56">
                  <c:v>165.44488229576726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'option-table'!$C$3</c:f>
              <c:strCache>
                <c:ptCount val="1"/>
                <c:pt idx="0">
                  <c:v>Leader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'option-table'!$B$4:$B$60</c:f>
              <c:numCache>
                <c:ptCount val="57"/>
                <c:pt idx="0">
                  <c:v>16</c:v>
                </c:pt>
                <c:pt idx="1">
                  <c:v>16.5</c:v>
                </c:pt>
                <c:pt idx="2">
                  <c:v>17</c:v>
                </c:pt>
                <c:pt idx="3">
                  <c:v>17.5</c:v>
                </c:pt>
                <c:pt idx="4">
                  <c:v>18</c:v>
                </c:pt>
                <c:pt idx="5">
                  <c:v>18.5</c:v>
                </c:pt>
                <c:pt idx="6">
                  <c:v>19</c:v>
                </c:pt>
                <c:pt idx="7">
                  <c:v>19.5</c:v>
                </c:pt>
                <c:pt idx="8">
                  <c:v>20</c:v>
                </c:pt>
                <c:pt idx="9">
                  <c:v>20.5</c:v>
                </c:pt>
                <c:pt idx="10">
                  <c:v>21</c:v>
                </c:pt>
                <c:pt idx="11">
                  <c:v>21.5</c:v>
                </c:pt>
                <c:pt idx="12">
                  <c:v>22</c:v>
                </c:pt>
                <c:pt idx="13">
                  <c:v>22.5</c:v>
                </c:pt>
                <c:pt idx="14">
                  <c:v>23</c:v>
                </c:pt>
                <c:pt idx="15">
                  <c:v>23.5</c:v>
                </c:pt>
                <c:pt idx="16">
                  <c:v>24</c:v>
                </c:pt>
                <c:pt idx="17">
                  <c:v>24.5</c:v>
                </c:pt>
                <c:pt idx="18">
                  <c:v>25</c:v>
                </c:pt>
                <c:pt idx="19">
                  <c:v>25.5</c:v>
                </c:pt>
                <c:pt idx="20">
                  <c:v>26</c:v>
                </c:pt>
                <c:pt idx="21">
                  <c:v>26.5</c:v>
                </c:pt>
                <c:pt idx="22">
                  <c:v>27</c:v>
                </c:pt>
                <c:pt idx="23">
                  <c:v>27.5</c:v>
                </c:pt>
                <c:pt idx="24">
                  <c:v>28</c:v>
                </c:pt>
                <c:pt idx="25">
                  <c:v>28.5</c:v>
                </c:pt>
                <c:pt idx="26">
                  <c:v>29</c:v>
                </c:pt>
                <c:pt idx="27">
                  <c:v>29.5</c:v>
                </c:pt>
                <c:pt idx="28">
                  <c:v>30</c:v>
                </c:pt>
                <c:pt idx="29">
                  <c:v>30.5</c:v>
                </c:pt>
                <c:pt idx="30">
                  <c:v>31</c:v>
                </c:pt>
                <c:pt idx="31">
                  <c:v>31.5</c:v>
                </c:pt>
                <c:pt idx="32">
                  <c:v>32</c:v>
                </c:pt>
                <c:pt idx="33">
                  <c:v>32.5</c:v>
                </c:pt>
                <c:pt idx="34">
                  <c:v>33</c:v>
                </c:pt>
                <c:pt idx="35">
                  <c:v>33.5</c:v>
                </c:pt>
                <c:pt idx="36">
                  <c:v>34</c:v>
                </c:pt>
                <c:pt idx="37">
                  <c:v>34.5</c:v>
                </c:pt>
                <c:pt idx="38">
                  <c:v>35</c:v>
                </c:pt>
                <c:pt idx="39">
                  <c:v>35.5</c:v>
                </c:pt>
                <c:pt idx="40">
                  <c:v>36</c:v>
                </c:pt>
                <c:pt idx="41">
                  <c:v>36.5</c:v>
                </c:pt>
                <c:pt idx="42">
                  <c:v>37</c:v>
                </c:pt>
                <c:pt idx="43">
                  <c:v>37.5</c:v>
                </c:pt>
                <c:pt idx="44">
                  <c:v>38</c:v>
                </c:pt>
                <c:pt idx="45">
                  <c:v>38.5</c:v>
                </c:pt>
                <c:pt idx="46">
                  <c:v>39</c:v>
                </c:pt>
                <c:pt idx="47">
                  <c:v>39.5</c:v>
                </c:pt>
                <c:pt idx="48">
                  <c:v>40</c:v>
                </c:pt>
                <c:pt idx="49">
                  <c:v>40.5</c:v>
                </c:pt>
                <c:pt idx="50">
                  <c:v>41</c:v>
                </c:pt>
                <c:pt idx="51">
                  <c:v>41.5</c:v>
                </c:pt>
                <c:pt idx="52">
                  <c:v>42</c:v>
                </c:pt>
                <c:pt idx="53">
                  <c:v>42.5</c:v>
                </c:pt>
                <c:pt idx="54">
                  <c:v>43</c:v>
                </c:pt>
                <c:pt idx="55">
                  <c:v>43.5</c:v>
                </c:pt>
                <c:pt idx="56">
                  <c:v>44</c:v>
                </c:pt>
              </c:numCache>
            </c:numRef>
          </c:xVal>
          <c:yVal>
            <c:numRef>
              <c:f>'option-table'!$C$4:$C$60</c:f>
              <c:numCache>
                <c:ptCount val="57"/>
                <c:pt idx="0">
                  <c:v>-27.884441685102058</c:v>
                </c:pt>
                <c:pt idx="1">
                  <c:v>-27.170035605260146</c:v>
                </c:pt>
                <c:pt idx="2">
                  <c:v>-26.299544177237163</c:v>
                </c:pt>
                <c:pt idx="3">
                  <c:v>-25.260222388627504</c:v>
                </c:pt>
                <c:pt idx="4">
                  <c:v>-24.04190127329372</c:v>
                </c:pt>
                <c:pt idx="5">
                  <c:v>-22.637215015053727</c:v>
                </c:pt>
                <c:pt idx="6">
                  <c:v>-21.041660000557656</c:v>
                </c:pt>
                <c:pt idx="7">
                  <c:v>-19.253500413430803</c:v>
                </c:pt>
                <c:pt idx="8">
                  <c:v>-17.273650721141614</c:v>
                </c:pt>
                <c:pt idx="9">
                  <c:v>-15.105437880853321</c:v>
                </c:pt>
                <c:pt idx="10">
                  <c:v>-12.754056968996167</c:v>
                </c:pt>
                <c:pt idx="11">
                  <c:v>-10.226419374201939</c:v>
                </c:pt>
                <c:pt idx="12">
                  <c:v>-7.530770158796688</c:v>
                </c:pt>
                <c:pt idx="13">
                  <c:v>-4.676271827955045</c:v>
                </c:pt>
                <c:pt idx="14">
                  <c:v>-1.6727012825269618</c:v>
                </c:pt>
                <c:pt idx="15">
                  <c:v>1.469830769430871</c:v>
                </c:pt>
                <c:pt idx="16">
                  <c:v>4.74111850246134</c:v>
                </c:pt>
                <c:pt idx="17">
                  <c:v>8.131050021713065</c:v>
                </c:pt>
                <c:pt idx="18">
                  <c:v>11.629812754488817</c:v>
                </c:pt>
                <c:pt idx="19">
                  <c:v>15.228001162305937</c:v>
                </c:pt>
                <c:pt idx="20">
                  <c:v>18.916741629637897</c:v>
                </c:pt>
                <c:pt idx="21">
                  <c:v>22.93298895510361</c:v>
                </c:pt>
                <c:pt idx="22">
                  <c:v>27.00475733626545</c:v>
                </c:pt>
                <c:pt idx="23">
                  <c:v>31.076525717427288</c:v>
                </c:pt>
                <c:pt idx="24">
                  <c:v>35.148294098589076</c:v>
                </c:pt>
                <c:pt idx="25">
                  <c:v>39.22006247975092</c:v>
                </c:pt>
                <c:pt idx="26">
                  <c:v>43.29183086091271</c:v>
                </c:pt>
                <c:pt idx="27">
                  <c:v>47.36359924207454</c:v>
                </c:pt>
                <c:pt idx="28">
                  <c:v>51.435367623236345</c:v>
                </c:pt>
                <c:pt idx="29">
                  <c:v>55.50713600439818</c:v>
                </c:pt>
                <c:pt idx="30">
                  <c:v>59.57890438556001</c:v>
                </c:pt>
                <c:pt idx="31">
                  <c:v>63.65067276672181</c:v>
                </c:pt>
                <c:pt idx="32">
                  <c:v>67.72244114788364</c:v>
                </c:pt>
                <c:pt idx="33">
                  <c:v>71.79420952904543</c:v>
                </c:pt>
                <c:pt idx="34">
                  <c:v>75.86597791020728</c:v>
                </c:pt>
                <c:pt idx="35">
                  <c:v>79.93774629136911</c:v>
                </c:pt>
                <c:pt idx="36">
                  <c:v>84.0095146725309</c:v>
                </c:pt>
                <c:pt idx="37">
                  <c:v>88.08128305369274</c:v>
                </c:pt>
                <c:pt idx="38">
                  <c:v>92.15305143485453</c:v>
                </c:pt>
                <c:pt idx="39">
                  <c:v>96.22481981601636</c:v>
                </c:pt>
                <c:pt idx="40">
                  <c:v>100.29658819717815</c:v>
                </c:pt>
                <c:pt idx="41">
                  <c:v>104.36835657833998</c:v>
                </c:pt>
                <c:pt idx="42">
                  <c:v>108.44012495950184</c:v>
                </c:pt>
                <c:pt idx="43">
                  <c:v>112.51189334066362</c:v>
                </c:pt>
                <c:pt idx="44">
                  <c:v>116.58366172182545</c:v>
                </c:pt>
                <c:pt idx="45">
                  <c:v>120.65543010298725</c:v>
                </c:pt>
                <c:pt idx="46">
                  <c:v>124.72719848414908</c:v>
                </c:pt>
                <c:pt idx="47">
                  <c:v>128.7989668653109</c:v>
                </c:pt>
                <c:pt idx="48">
                  <c:v>132.87073524647272</c:v>
                </c:pt>
                <c:pt idx="49">
                  <c:v>136.94250362763455</c:v>
                </c:pt>
                <c:pt idx="50">
                  <c:v>141.01427200879635</c:v>
                </c:pt>
                <c:pt idx="51">
                  <c:v>145.08604038995819</c:v>
                </c:pt>
                <c:pt idx="52">
                  <c:v>149.15780877112</c:v>
                </c:pt>
                <c:pt idx="53">
                  <c:v>153.22957715228182</c:v>
                </c:pt>
                <c:pt idx="54">
                  <c:v>157.30134553344362</c:v>
                </c:pt>
                <c:pt idx="55">
                  <c:v>161.37311391460545</c:v>
                </c:pt>
                <c:pt idx="56">
                  <c:v>165.4448822957673</c:v>
                </c:pt>
              </c:numCache>
            </c:numRef>
          </c:yVal>
          <c:smooth val="1"/>
        </c:ser>
        <c:axId val="25954331"/>
        <c:axId val="32262388"/>
      </c:scatterChart>
      <c:valAx>
        <c:axId val="25954331"/>
        <c:scaling>
          <c:orientation val="minMax"/>
          <c:max val="31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 (US$/bbl)</a:t>
                </a:r>
              </a:p>
            </c:rich>
          </c:tx>
          <c:layout>
            <c:manualLayout>
              <c:xMode val="factor"/>
              <c:yMode val="factor"/>
              <c:x val="0.002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2262388"/>
        <c:crosses val="autoZero"/>
        <c:crossBetween val="midCat"/>
        <c:dispUnits/>
        <c:majorUnit val="0.2"/>
      </c:valAx>
      <c:valAx>
        <c:axId val="32262388"/>
        <c:scaling>
          <c:orientation val="minMax"/>
          <c:max val="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Option,  </a:t>
                </a:r>
                <a:r>
                  <a:rPr lang="en-US" cap="none" sz="900" b="1" i="0" u="none" baseline="0">
                    <a:solidFill>
                      <a:srgbClr val="0000FF"/>
                    </a:solidFill>
                  </a:rPr>
                  <a:t>Leader</a:t>
                </a:r>
                <a:r>
                  <a:rPr lang="en-US" cap="none" sz="900" b="1" i="0" u="none" baseline="0"/>
                  <a:t>,  </a:t>
                </a:r>
                <a:r>
                  <a:rPr lang="en-US" cap="none" sz="900" b="1" i="0" u="none" baseline="0">
                    <a:solidFill>
                      <a:srgbClr val="FF0000"/>
                    </a:solidFill>
                  </a:rPr>
                  <a:t>Follower</a:t>
                </a:r>
                <a:r>
                  <a:rPr lang="en-US" cap="none" sz="900" b="1" i="0" u="none" baseline="0"/>
                  <a:t> (million $)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5954331"/>
        <c:crosses val="autoZero"/>
        <c:crossBetween val="midCat"/>
        <c:dispUnits/>
      </c:valAx>
      <c:spPr>
        <a:pattFill prst="pct50">
          <a:fgClr>
            <a:srgbClr val="C0C0C0"/>
          </a:fgClr>
          <a:bgClr>
            <a:srgbClr val="FFFFFF"/>
          </a:bgClr>
        </a:patt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595"/>
          <c:y val="0.1255"/>
          <c:w val="0.322"/>
          <c:h val="0.1717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6</xdr:col>
      <xdr:colOff>28575</xdr:colOff>
      <xdr:row>18</xdr:row>
      <xdr:rowOff>19050</xdr:rowOff>
    </xdr:to>
    <xdr:graphicFrame>
      <xdr:nvGraphicFramePr>
        <xdr:cNvPr id="1" name="Chart 41"/>
        <xdr:cNvGraphicFramePr/>
      </xdr:nvGraphicFramePr>
      <xdr:xfrm>
        <a:off x="0" y="209550"/>
        <a:ext cx="42576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38</xdr:row>
      <xdr:rowOff>0</xdr:rowOff>
    </xdr:from>
    <xdr:to>
      <xdr:col>10</xdr:col>
      <xdr:colOff>161925</xdr:colOff>
      <xdr:row>38</xdr:row>
      <xdr:rowOff>0</xdr:rowOff>
    </xdr:to>
    <xdr:graphicFrame>
      <xdr:nvGraphicFramePr>
        <xdr:cNvPr id="2" name="Chart 10"/>
        <xdr:cNvGraphicFramePr/>
      </xdr:nvGraphicFramePr>
      <xdr:xfrm>
        <a:off x="9525" y="687705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152400</xdr:colOff>
      <xdr:row>38</xdr:row>
      <xdr:rowOff>0</xdr:rowOff>
    </xdr:to>
    <xdr:graphicFrame>
      <xdr:nvGraphicFramePr>
        <xdr:cNvPr id="3" name="Chart 11"/>
        <xdr:cNvGraphicFramePr/>
      </xdr:nvGraphicFramePr>
      <xdr:xfrm>
        <a:off x="0" y="6877050"/>
        <a:ext cx="5724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876300</xdr:colOff>
      <xdr:row>6</xdr:row>
      <xdr:rowOff>133350</xdr:rowOff>
    </xdr:from>
    <xdr:to>
      <xdr:col>4</xdr:col>
      <xdr:colOff>876300</xdr:colOff>
      <xdr:row>12</xdr:row>
      <xdr:rowOff>76200</xdr:rowOff>
    </xdr:to>
    <xdr:sp>
      <xdr:nvSpPr>
        <xdr:cNvPr id="4" name="Line 42"/>
        <xdr:cNvSpPr>
          <a:spLocks/>
        </xdr:cNvSpPr>
      </xdr:nvSpPr>
      <xdr:spPr>
        <a:xfrm flipH="1">
          <a:off x="3533775" y="1190625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6</xdr:row>
      <xdr:rowOff>85725</xdr:rowOff>
    </xdr:from>
    <xdr:to>
      <xdr:col>4</xdr:col>
      <xdr:colOff>866775</xdr:colOff>
      <xdr:row>6</xdr:row>
      <xdr:rowOff>85725</xdr:rowOff>
    </xdr:to>
    <xdr:sp>
      <xdr:nvSpPr>
        <xdr:cNvPr id="5" name="Line 43"/>
        <xdr:cNvSpPr>
          <a:spLocks/>
        </xdr:cNvSpPr>
      </xdr:nvSpPr>
      <xdr:spPr>
        <a:xfrm>
          <a:off x="523875" y="1143000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6</xdr:row>
      <xdr:rowOff>133350</xdr:rowOff>
    </xdr:from>
    <xdr:to>
      <xdr:col>4</xdr:col>
      <xdr:colOff>876300</xdr:colOff>
      <xdr:row>6</xdr:row>
      <xdr:rowOff>133350</xdr:rowOff>
    </xdr:to>
    <xdr:sp>
      <xdr:nvSpPr>
        <xdr:cNvPr id="6" name="Line 44"/>
        <xdr:cNvSpPr>
          <a:spLocks/>
        </xdr:cNvSpPr>
      </xdr:nvSpPr>
      <xdr:spPr>
        <a:xfrm flipV="1">
          <a:off x="523875" y="11906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5</xdr:row>
      <xdr:rowOff>47625</xdr:rowOff>
    </xdr:from>
    <xdr:to>
      <xdr:col>5</xdr:col>
      <xdr:colOff>352425</xdr:colOff>
      <xdr:row>12</xdr:row>
      <xdr:rowOff>76200</xdr:rowOff>
    </xdr:to>
    <xdr:sp>
      <xdr:nvSpPr>
        <xdr:cNvPr id="7" name="Line 85"/>
        <xdr:cNvSpPr>
          <a:spLocks/>
        </xdr:cNvSpPr>
      </xdr:nvSpPr>
      <xdr:spPr>
        <a:xfrm>
          <a:off x="3952875" y="895350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323850</xdr:colOff>
      <xdr:row>19</xdr:row>
      <xdr:rowOff>19050</xdr:rowOff>
    </xdr:from>
    <xdr:to>
      <xdr:col>30</xdr:col>
      <xdr:colOff>390525</xdr:colOff>
      <xdr:row>38</xdr:row>
      <xdr:rowOff>85725</xdr:rowOff>
    </xdr:to>
    <xdr:graphicFrame>
      <xdr:nvGraphicFramePr>
        <xdr:cNvPr id="1" name="Chart 5"/>
        <xdr:cNvGraphicFramePr/>
      </xdr:nvGraphicFramePr>
      <xdr:xfrm>
        <a:off x="13068300" y="3238500"/>
        <a:ext cx="59340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0</xdr:colOff>
      <xdr:row>19</xdr:row>
      <xdr:rowOff>0</xdr:rowOff>
    </xdr:from>
    <xdr:to>
      <xdr:col>40</xdr:col>
      <xdr:colOff>476250</xdr:colOff>
      <xdr:row>38</xdr:row>
      <xdr:rowOff>85725</xdr:rowOff>
    </xdr:to>
    <xdr:graphicFrame>
      <xdr:nvGraphicFramePr>
        <xdr:cNvPr id="2" name="Chart 6"/>
        <xdr:cNvGraphicFramePr/>
      </xdr:nvGraphicFramePr>
      <xdr:xfrm>
        <a:off x="19221450" y="3219450"/>
        <a:ext cx="59626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8</xdr:col>
      <xdr:colOff>19050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0" y="228600"/>
        <a:ext cx="48958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228600</xdr:colOff>
      <xdr:row>15</xdr:row>
      <xdr:rowOff>57150</xdr:rowOff>
    </xdr:from>
    <xdr:to>
      <xdr:col>2</xdr:col>
      <xdr:colOff>228600</xdr:colOff>
      <xdr:row>19</xdr:row>
      <xdr:rowOff>57150</xdr:rowOff>
    </xdr:to>
    <xdr:sp>
      <xdr:nvSpPr>
        <xdr:cNvPr id="2" name="Line 2"/>
        <xdr:cNvSpPr>
          <a:spLocks/>
        </xdr:cNvSpPr>
      </xdr:nvSpPr>
      <xdr:spPr>
        <a:xfrm flipH="1">
          <a:off x="1447800" y="25146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7</xdr:row>
      <xdr:rowOff>9525</xdr:rowOff>
    </xdr:from>
    <xdr:to>
      <xdr:col>6</xdr:col>
      <xdr:colOff>133350</xdr:colOff>
      <xdr:row>19</xdr:row>
      <xdr:rowOff>47625</xdr:rowOff>
    </xdr:to>
    <xdr:sp>
      <xdr:nvSpPr>
        <xdr:cNvPr id="3" name="Line 3"/>
        <xdr:cNvSpPr>
          <a:spLocks/>
        </xdr:cNvSpPr>
      </xdr:nvSpPr>
      <xdr:spPr>
        <a:xfrm flipH="1">
          <a:off x="3790950" y="1171575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8</xdr:col>
      <xdr:colOff>400050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19050" y="3771900"/>
        <a:ext cx="525780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142875</xdr:colOff>
      <xdr:row>19</xdr:row>
      <xdr:rowOff>38100</xdr:rowOff>
    </xdr:from>
    <xdr:to>
      <xdr:col>17</xdr:col>
      <xdr:colOff>142875</xdr:colOff>
      <xdr:row>33</xdr:row>
      <xdr:rowOff>57150</xdr:rowOff>
    </xdr:to>
    <xdr:sp>
      <xdr:nvSpPr>
        <xdr:cNvPr id="5" name="Line 5"/>
        <xdr:cNvSpPr>
          <a:spLocks/>
        </xdr:cNvSpPr>
      </xdr:nvSpPr>
      <xdr:spPr>
        <a:xfrm flipH="1">
          <a:off x="10506075" y="3143250"/>
          <a:ext cx="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27</xdr:row>
      <xdr:rowOff>0</xdr:rowOff>
    </xdr:from>
    <xdr:to>
      <xdr:col>7</xdr:col>
      <xdr:colOff>390525</xdr:colOff>
      <xdr:row>41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4657725" y="4400550"/>
          <a:ext cx="0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6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438400" y="647700"/>
          <a:ext cx="1219200" cy="495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0</xdr:rowOff>
    </xdr:from>
    <xdr:to>
      <xdr:col>6</xdr:col>
      <xdr:colOff>19050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447925" y="1323975"/>
          <a:ext cx="1228725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352425</xdr:colOff>
      <xdr:row>4</xdr:row>
      <xdr:rowOff>19050</xdr:rowOff>
    </xdr:from>
    <xdr:ext cx="285750" cy="228600"/>
    <xdr:sp>
      <xdr:nvSpPr>
        <xdr:cNvPr id="3" name="TextBox 3"/>
        <xdr:cNvSpPr txBox="1">
          <a:spLocks noChangeArrowheads="1"/>
        </xdr:cNvSpPr>
      </xdr:nvSpPr>
      <xdr:spPr>
        <a:xfrm>
          <a:off x="2790825" y="6667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FC</a:t>
          </a:r>
          <a:r>
            <a:rPr lang="en-US" cap="none" sz="10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4</xdr:col>
      <xdr:colOff>228600</xdr:colOff>
      <xdr:row>9</xdr:row>
      <xdr:rowOff>104775</xdr:rowOff>
    </xdr:from>
    <xdr:ext cx="504825" cy="219075"/>
    <xdr:sp>
      <xdr:nvSpPr>
        <xdr:cNvPr id="4" name="TextBox 4"/>
        <xdr:cNvSpPr txBox="1">
          <a:spLocks noChangeArrowheads="1"/>
        </xdr:cNvSpPr>
      </xdr:nvSpPr>
      <xdr:spPr>
        <a:xfrm>
          <a:off x="2667000" y="15906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 </a:t>
          </a:r>
          <a:r>
            <a:rPr lang="en-US" cap="none" sz="1000" b="0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-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FC</a:t>
          </a:r>
          <a:r>
            <a:rPr lang="en-US" cap="none" sz="10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twoCellAnchor>
    <xdr:from>
      <xdr:col>4</xdr:col>
      <xdr:colOff>0</xdr:colOff>
      <xdr:row>19</xdr:row>
      <xdr:rowOff>0</xdr:rowOff>
    </xdr:from>
    <xdr:to>
      <xdr:col>6</xdr:col>
      <xdr:colOff>0</xdr:colOff>
      <xdr:row>22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2438400" y="3124200"/>
          <a:ext cx="1219200" cy="495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0</xdr:rowOff>
    </xdr:from>
    <xdr:to>
      <xdr:col>6</xdr:col>
      <xdr:colOff>19050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2447925" y="3800475"/>
          <a:ext cx="1228725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323850</xdr:colOff>
      <xdr:row>18</xdr:row>
      <xdr:rowOff>85725</xdr:rowOff>
    </xdr:from>
    <xdr:ext cx="447675" cy="342900"/>
    <xdr:sp>
      <xdr:nvSpPr>
        <xdr:cNvPr id="7" name="TextBox 7"/>
        <xdr:cNvSpPr txBox="1">
          <a:spLocks noChangeArrowheads="1"/>
        </xdr:cNvSpPr>
      </xdr:nvSpPr>
      <xdr:spPr>
        <a:xfrm>
          <a:off x="2762250" y="3028950"/>
          <a:ext cx="447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sinal +
 p</a:t>
          </a:r>
        </a:p>
      </xdr:txBody>
    </xdr:sp>
    <xdr:clientData/>
  </xdr:oneCellAnchor>
  <xdr:oneCellAnchor>
    <xdr:from>
      <xdr:col>4</xdr:col>
      <xdr:colOff>304800</xdr:colOff>
      <xdr:row>24</xdr:row>
      <xdr:rowOff>123825</xdr:rowOff>
    </xdr:from>
    <xdr:ext cx="438150" cy="361950"/>
    <xdr:sp>
      <xdr:nvSpPr>
        <xdr:cNvPr id="8" name="TextBox 8"/>
        <xdr:cNvSpPr txBox="1">
          <a:spLocks noChangeArrowheads="1"/>
        </xdr:cNvSpPr>
      </xdr:nvSpPr>
      <xdr:spPr>
        <a:xfrm>
          <a:off x="2743200" y="4086225"/>
          <a:ext cx="438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sinal </a:t>
          </a:r>
          <a:r>
            <a:rPr lang="en-US" cap="none" sz="1000" b="0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-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1 </a:t>
          </a:r>
          <a:r>
            <a:rPr lang="en-US" cap="none" sz="1000" b="0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-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4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10.421875" style="0" customWidth="1"/>
    <col min="3" max="3" width="7.7109375" style="0" customWidth="1"/>
    <col min="4" max="4" width="9.28125" style="0" customWidth="1"/>
    <col min="5" max="5" width="14.140625" style="0" customWidth="1"/>
    <col min="6" max="6" width="9.421875" style="0" customWidth="1"/>
    <col min="7" max="7" width="4.00390625" style="0" customWidth="1"/>
    <col min="8" max="8" width="8.7109375" style="0" customWidth="1"/>
    <col min="9" max="9" width="5.7109375" style="0" customWidth="1"/>
    <col min="10" max="10" width="1.7109375" style="0" customWidth="1"/>
    <col min="11" max="11" width="5.7109375" style="0" customWidth="1"/>
    <col min="12" max="12" width="5.8515625" style="0" customWidth="1"/>
    <col min="13" max="13" width="1.7109375" style="0" customWidth="1"/>
    <col min="14" max="14" width="5.7109375" style="0" customWidth="1"/>
    <col min="15" max="15" width="7.140625" style="0" customWidth="1"/>
    <col min="16" max="16" width="10.7109375" style="0" customWidth="1"/>
    <col min="17" max="17" width="9.57421875" style="0" customWidth="1"/>
    <col min="19" max="19" width="9.28125" style="0" customWidth="1"/>
    <col min="29" max="29" width="7.00390625" style="0" customWidth="1"/>
    <col min="30" max="30" width="11.8515625" style="0" customWidth="1"/>
  </cols>
  <sheetData>
    <row r="1" ht="15.75">
      <c r="A1" s="16" t="s">
        <v>41</v>
      </c>
    </row>
    <row r="2" spans="8:9" ht="12.75">
      <c r="H2" s="117" t="s">
        <v>115</v>
      </c>
      <c r="I2" s="26"/>
    </row>
    <row r="3" spans="8:9" ht="12.75">
      <c r="H3" s="118" t="s">
        <v>117</v>
      </c>
      <c r="I3" s="27"/>
    </row>
    <row r="4" spans="9:14" ht="12.75">
      <c r="I4" s="132" t="s">
        <v>89</v>
      </c>
      <c r="J4" s="132"/>
      <c r="K4" s="132"/>
      <c r="L4" s="132"/>
      <c r="M4" s="132"/>
      <c r="N4" s="132"/>
    </row>
    <row r="5" spans="9:16" ht="12.75">
      <c r="I5" s="133" t="s">
        <v>25</v>
      </c>
      <c r="J5" s="133"/>
      <c r="K5" s="133"/>
      <c r="L5" s="133" t="s">
        <v>26</v>
      </c>
      <c r="M5" s="133"/>
      <c r="N5" s="133"/>
      <c r="P5" s="27" t="s">
        <v>65</v>
      </c>
    </row>
    <row r="6" spans="9:18" ht="16.5" thickBot="1">
      <c r="I6" s="134"/>
      <c r="J6" s="134"/>
      <c r="K6" s="134"/>
      <c r="L6" s="134"/>
      <c r="M6" s="134"/>
      <c r="N6" s="134"/>
      <c r="P6" s="28" t="s">
        <v>66</v>
      </c>
      <c r="Q6" s="101">
        <f>IF(P_&lt;P_thres_E,0,EMV*(1-EXP(-(r_/100)*1/12)))</f>
        <v>0.2477289745055287</v>
      </c>
      <c r="R6" s="30" t="str">
        <f>IF($U$27=1," $ milhões"," $/unidade de produto")</f>
        <v> $ milhões</v>
      </c>
    </row>
    <row r="7" spans="8:14" ht="12.75">
      <c r="H7" s="130" t="s">
        <v>25</v>
      </c>
      <c r="I7" s="18"/>
      <c r="J7" s="19"/>
      <c r="K7" s="20"/>
      <c r="L7" s="64" t="s">
        <v>24</v>
      </c>
      <c r="M7" s="19"/>
      <c r="N7" s="65" t="s">
        <v>23</v>
      </c>
    </row>
    <row r="8" spans="7:20" ht="15.75">
      <c r="G8" s="126" t="s">
        <v>88</v>
      </c>
      <c r="H8" s="130"/>
      <c r="I8" s="74">
        <f>E_option-wait_cost</f>
        <v>59.33117541105445</v>
      </c>
      <c r="J8" s="17" t="s">
        <v>9</v>
      </c>
      <c r="K8" s="75">
        <f>E_option-wait_cost</f>
        <v>59.33117541105445</v>
      </c>
      <c r="L8" s="74">
        <f>inf_option</f>
        <v>60.67943280767498</v>
      </c>
      <c r="M8" s="17" t="s">
        <v>9</v>
      </c>
      <c r="N8" s="75">
        <f>EMV</f>
        <v>59.57890438556001</v>
      </c>
      <c r="P8" t="s">
        <v>62</v>
      </c>
      <c r="T8" s="92"/>
    </row>
    <row r="9" spans="6:17" ht="13.5" customHeight="1" thickBot="1">
      <c r="F9" s="125"/>
      <c r="G9" s="127"/>
      <c r="H9" s="130"/>
      <c r="I9" s="21"/>
      <c r="J9" s="22"/>
      <c r="K9" s="23"/>
      <c r="L9" s="21"/>
      <c r="M9" s="22"/>
      <c r="N9" s="23"/>
      <c r="P9" s="24" t="str">
        <f>IF(AND(A_wait_wait&gt;=0.999999*A_invest_wait,B_wait_wait&gt;=0.999999*B_wait_invest),"yes","no")</f>
        <v>no</v>
      </c>
      <c r="Q9" s="24" t="str">
        <f>IF(AND(A_wait_invest&gt;=0.999999*A_invest_invest,B_wait_invest&gt;=0.999999*B_wait_wait),"yes","no")</f>
        <v>yes</v>
      </c>
    </row>
    <row r="10" spans="6:19" ht="12.75">
      <c r="F10" s="125"/>
      <c r="G10" s="127"/>
      <c r="H10" s="130" t="s">
        <v>26</v>
      </c>
      <c r="I10" s="62" t="s">
        <v>23</v>
      </c>
      <c r="J10" s="19"/>
      <c r="K10" s="63" t="s">
        <v>24</v>
      </c>
      <c r="L10" s="18"/>
      <c r="M10" s="19"/>
      <c r="N10" s="63" t="s">
        <v>32</v>
      </c>
      <c r="P10" s="24" t="str">
        <f>IF(AND(A_invest_wait&gt;=0.999999*A_wait_wait,B_invest_wait&gt;=0.999999*B_invest_invest),"yes","no")</f>
        <v>yes</v>
      </c>
      <c r="Q10" s="24" t="str">
        <f>IF(AND(A_invest_invest&gt;=0.999999*A_wait_invest,B_invest_invest&gt;=0.999999*B_invest_wait),"yes","no")</f>
        <v>no</v>
      </c>
      <c r="S10" s="14"/>
    </row>
    <row r="11" spans="8:19" ht="15.75">
      <c r="H11" s="131"/>
      <c r="I11" s="74">
        <f>EMV</f>
        <v>59.57890438556001</v>
      </c>
      <c r="J11" s="17" t="s">
        <v>9</v>
      </c>
      <c r="K11" s="75">
        <f>inf_option</f>
        <v>60.67943280767498</v>
      </c>
      <c r="L11" s="74">
        <f>EMV</f>
        <v>59.57890438556001</v>
      </c>
      <c r="M11" s="17" t="s">
        <v>9</v>
      </c>
      <c r="N11" s="75">
        <f>EMV</f>
        <v>59.57890438556001</v>
      </c>
      <c r="S11" s="14"/>
    </row>
    <row r="12" spans="8:20" ht="13.5" thickBot="1">
      <c r="H12" s="130"/>
      <c r="I12" s="21"/>
      <c r="J12" s="22"/>
      <c r="K12" s="23"/>
      <c r="L12" s="21"/>
      <c r="M12" s="22"/>
      <c r="N12" s="23"/>
      <c r="P12" s="53" t="s">
        <v>59</v>
      </c>
      <c r="T12" s="92"/>
    </row>
    <row r="13" spans="8:18" ht="12.75">
      <c r="H13" s="88"/>
      <c r="I13" s="70"/>
      <c r="K13" s="70"/>
      <c r="P13" s="28" t="s">
        <v>60</v>
      </c>
      <c r="Q13" s="29">
        <f>BjStAmericanCall((FC0/100)*q_*B_*P_*(EXP(-(delta/100)*2)),Inv+((FC0/100)*Idp),years+(months/12),r_/100,delta/100,sigma/100)</f>
        <v>59.57890438555998</v>
      </c>
      <c r="R13" s="30" t="str">
        <f>IF($U$27=1," $ milhões"," $/unidade de produto")</f>
        <v> $ milhões</v>
      </c>
    </row>
    <row r="14" spans="10:18" ht="12.75">
      <c r="J14" s="13" t="s">
        <v>27</v>
      </c>
      <c r="P14" s="28" t="s">
        <v>61</v>
      </c>
      <c r="Q14" s="29">
        <f>-Inv+((FC0/100)*Fdp)</f>
        <v>59.57890438556001</v>
      </c>
      <c r="R14" s="30" t="str">
        <f>IF($U$27=1," $ milhões"," $/unidade de produto")</f>
        <v> $ milhões</v>
      </c>
    </row>
    <row r="15" spans="10:18" ht="12.75">
      <c r="J15" s="25"/>
      <c r="K15" s="13" t="s">
        <v>28</v>
      </c>
      <c r="P15" s="28" t="s">
        <v>38</v>
      </c>
      <c r="Q15" s="29">
        <f>Q13-Q14</f>
        <v>0</v>
      </c>
      <c r="R15" s="30" t="str">
        <f>IF($U$27=1," $ milhões"," $/unidade de produto")</f>
        <v> $ milhões</v>
      </c>
    </row>
    <row r="16" spans="7:19" ht="12.75">
      <c r="G16" s="36"/>
      <c r="H16" s="37" t="s">
        <v>33</v>
      </c>
      <c r="I16" s="36"/>
      <c r="J16" s="36"/>
      <c r="K16" s="36"/>
      <c r="L16" s="36"/>
      <c r="M16" s="36"/>
      <c r="N16" s="36"/>
      <c r="O16" s="36"/>
      <c r="P16" s="44" t="s">
        <v>67</v>
      </c>
      <c r="Q16" s="112">
        <f>'option-table'!U8</f>
        <v>33.12000000000015</v>
      </c>
      <c r="R16" s="30" t="s">
        <v>87</v>
      </c>
      <c r="S16" s="36"/>
    </row>
    <row r="17" spans="7:19" ht="15.75">
      <c r="G17" s="36"/>
      <c r="H17" s="37" t="s">
        <v>34</v>
      </c>
      <c r="I17" s="38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7:19" ht="12.75">
      <c r="G18" s="36"/>
      <c r="H18" s="36"/>
      <c r="I18" s="39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2.75">
      <c r="A19" s="35" t="s">
        <v>90</v>
      </c>
      <c r="G19" s="36"/>
      <c r="H19" s="55"/>
      <c r="I19" s="56" t="s">
        <v>31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ht="15.75">
      <c r="A20" s="1" t="s">
        <v>91</v>
      </c>
      <c r="B20" s="6">
        <v>20</v>
      </c>
      <c r="C20" s="13" t="s">
        <v>14</v>
      </c>
      <c r="D20" s="3"/>
      <c r="E20" s="14" t="s">
        <v>92</v>
      </c>
      <c r="F20" s="52">
        <f>q_*B_*P_*(EXP(-(delta/100)*2))</f>
        <v>1262.2481981601636</v>
      </c>
      <c r="G20" s="3" t="str">
        <f>IF($U$27=1," $ million"," $/unit")</f>
        <v> $ million</v>
      </c>
      <c r="H20" s="55"/>
      <c r="I20" s="39"/>
      <c r="J20" s="36"/>
      <c r="K20" s="57" t="s">
        <v>97</v>
      </c>
      <c r="L20" s="36"/>
      <c r="M20" s="36"/>
      <c r="N20" s="36"/>
      <c r="O20" s="36"/>
      <c r="P20" s="57" t="s">
        <v>99</v>
      </c>
      <c r="Q20" s="36"/>
      <c r="R20" s="36"/>
      <c r="S20" s="36"/>
    </row>
    <row r="21" spans="1:19" ht="15.75">
      <c r="A21" s="69"/>
      <c r="E21" s="14" t="s">
        <v>93</v>
      </c>
      <c r="F21" s="2">
        <f>(300+(2*B_))*(EXP(-(r_/100)*2))</f>
        <v>814.3536762323636</v>
      </c>
      <c r="G21" s="3" t="str">
        <f>IF($U$27=1," $ million"," $/unit")</f>
        <v> $ million</v>
      </c>
      <c r="H21" s="55"/>
      <c r="I21" s="39"/>
      <c r="J21" s="36"/>
      <c r="K21" s="57" t="s">
        <v>98</v>
      </c>
      <c r="L21" s="76">
        <f>FC0</f>
        <v>20</v>
      </c>
      <c r="M21" s="13" t="s">
        <v>14</v>
      </c>
      <c r="N21" s="36"/>
      <c r="O21" s="36"/>
      <c r="P21" s="57" t="s">
        <v>15</v>
      </c>
      <c r="Q21" s="52">
        <f>(FC0/100)*(1-(FC0/100))</f>
        <v>0.16000000000000003</v>
      </c>
      <c r="R21" s="36"/>
      <c r="S21" s="36"/>
    </row>
    <row r="22" spans="1:32" ht="14.25">
      <c r="A22" s="1" t="s">
        <v>116</v>
      </c>
      <c r="B22" s="6">
        <f>BjStAmericanCall(Vdp,Idp,years+(months/12),r_/100,delta/100,sigma/100)</f>
        <v>447.89452192780004</v>
      </c>
      <c r="C22" s="3" t="str">
        <f>IF($U$27=1," $ million"," $/unit")</f>
        <v> $ million</v>
      </c>
      <c r="E22" s="91" t="s">
        <v>94</v>
      </c>
      <c r="F22" s="52">
        <f>F20-F21</f>
        <v>447.89452192780004</v>
      </c>
      <c r="G22" s="3" t="str">
        <f>IF($U$27=1," $ million"," $/unit")</f>
        <v> $ million</v>
      </c>
      <c r="H22" s="55"/>
      <c r="I22" s="39"/>
      <c r="J22" s="36"/>
      <c r="K22" s="36"/>
      <c r="L22" s="36"/>
      <c r="M22" s="36"/>
      <c r="N22" s="36"/>
      <c r="O22" s="36"/>
      <c r="P22" s="36"/>
      <c r="Q22" s="36"/>
      <c r="R22" s="36"/>
      <c r="S22" s="36"/>
      <c r="AF22" t="s">
        <v>45</v>
      </c>
    </row>
    <row r="23" spans="2:32" ht="14.25" customHeight="1">
      <c r="B23" s="90" t="str">
        <f>CONCATENATE("P* = ",ROUND((Vcrit(Idp,r_/100,delta/100,sigma/100,years+(months/12)))/(q_*B_*(EXP(-(delta/100)*2))),2),IF(Fdp&lt;=1.000001*NPV_dp,". Development option deep-in-the-money",". Wait is better than development"))</f>
        <v>P* = 26,08. Development option deep-in-the-money</v>
      </c>
      <c r="E23" s="14" t="s">
        <v>49</v>
      </c>
      <c r="F23" s="2">
        <v>31</v>
      </c>
      <c r="G23" s="3" t="s">
        <v>50</v>
      </c>
      <c r="H23" s="55"/>
      <c r="I23" s="39"/>
      <c r="J23" s="36"/>
      <c r="K23" s="57"/>
      <c r="L23" s="36"/>
      <c r="M23" s="36"/>
      <c r="N23" s="36"/>
      <c r="O23" s="36"/>
      <c r="P23" s="36"/>
      <c r="Q23" s="36"/>
      <c r="R23" s="36"/>
      <c r="S23" s="36"/>
      <c r="AB23" t="s">
        <v>42</v>
      </c>
      <c r="AF23" t="s">
        <v>46</v>
      </c>
    </row>
    <row r="24" spans="1:19" ht="14.25" customHeight="1">
      <c r="A24" s="122" t="s">
        <v>52</v>
      </c>
      <c r="B24" s="123"/>
      <c r="C24" s="93">
        <v>0.15</v>
      </c>
      <c r="D24" s="33"/>
      <c r="E24" s="78" t="s">
        <v>53</v>
      </c>
      <c r="F24" s="2">
        <v>300</v>
      </c>
      <c r="G24" s="47" t="s">
        <v>54</v>
      </c>
      <c r="H24" s="55"/>
      <c r="I24" s="39"/>
      <c r="J24" s="36"/>
      <c r="K24" s="57"/>
      <c r="L24" s="36"/>
      <c r="M24" s="36"/>
      <c r="N24" s="36"/>
      <c r="O24" s="36"/>
      <c r="P24" s="36"/>
      <c r="Q24" s="36"/>
      <c r="R24" s="36"/>
      <c r="S24" s="36"/>
    </row>
    <row r="25" spans="1:33" ht="14.25" customHeight="1">
      <c r="A25" s="35" t="s">
        <v>95</v>
      </c>
      <c r="G25" s="36"/>
      <c r="H25" s="31"/>
      <c r="I25" s="38"/>
      <c r="J25" s="36"/>
      <c r="K25" s="57"/>
      <c r="L25" s="40"/>
      <c r="M25" s="36"/>
      <c r="N25" s="36"/>
      <c r="O25" s="36"/>
      <c r="P25" s="36"/>
      <c r="Q25" s="36"/>
      <c r="R25" s="36"/>
      <c r="S25" s="36"/>
      <c r="AB25" s="83" t="s">
        <v>43</v>
      </c>
      <c r="AC25">
        <f>(2/5)*(3+(4/12))</f>
        <v>1.3333333333333335</v>
      </c>
      <c r="AF25" s="83" t="s">
        <v>43</v>
      </c>
      <c r="AG25">
        <f>(2/5)*(3+(4/12))</f>
        <v>1.3333333333333335</v>
      </c>
    </row>
    <row r="26" spans="1:33" ht="15" customHeight="1">
      <c r="A26" s="1" t="s">
        <v>12</v>
      </c>
      <c r="B26" s="54">
        <f>(FC0/100)*Fdp</f>
        <v>89.57890438556001</v>
      </c>
      <c r="C26" s="3" t="str">
        <f>IF($U$27=1," $ million"," $/unit")</f>
        <v> $ million</v>
      </c>
      <c r="E26" s="14" t="s">
        <v>55</v>
      </c>
      <c r="F26" s="95">
        <f>(Vcrit(Inv+((FC0/100)*Idp),r_/100,delta/100,sigma/100,years+(months/12)))/((FC0/100)*q_*B_*(EXP(-(delta/100)*2)))</f>
        <v>30.887570242973307</v>
      </c>
      <c r="G26" s="94"/>
      <c r="H26" s="55"/>
      <c r="I26" s="58"/>
      <c r="J26" s="58"/>
      <c r="K26" s="57" t="s">
        <v>100</v>
      </c>
      <c r="L26" s="80">
        <v>10</v>
      </c>
      <c r="M26" s="13" t="s">
        <v>14</v>
      </c>
      <c r="N26" s="36"/>
      <c r="O26" s="36"/>
      <c r="P26" s="81" t="s">
        <v>40</v>
      </c>
      <c r="Q26" s="98">
        <f>SQRT(Red_Var/100)</f>
        <v>0.31622776601683794</v>
      </c>
      <c r="R26" s="36"/>
      <c r="S26" s="36"/>
      <c r="AB26" s="83" t="s">
        <v>44</v>
      </c>
      <c r="AC26" s="84">
        <f>(4/5)*(1+1/12)</f>
        <v>0.8666666666666667</v>
      </c>
      <c r="AF26" s="83" t="s">
        <v>47</v>
      </c>
      <c r="AG26" s="87">
        <f>(4/5)*(11/12)</f>
        <v>0.7333333333333334</v>
      </c>
    </row>
    <row r="27" spans="1:33" ht="12.75">
      <c r="A27" s="11" t="s">
        <v>96</v>
      </c>
      <c r="F27" s="90" t="str">
        <f>IF(P_&gt;=F26,"Deep-in-the-money option: war of attrition matters","Wait due to option theory")</f>
        <v>Deep-in-the-money option: war of attrition matters</v>
      </c>
      <c r="G27" s="36"/>
      <c r="H27" s="55"/>
      <c r="I27" s="59"/>
      <c r="J27" s="59"/>
      <c r="K27" s="61" t="s">
        <v>101</v>
      </c>
      <c r="L27" s="59"/>
      <c r="M27" s="59"/>
      <c r="N27" s="59"/>
      <c r="O27" s="59"/>
      <c r="P27" s="59"/>
      <c r="Q27" s="59"/>
      <c r="R27" s="96" t="s">
        <v>58</v>
      </c>
      <c r="S27" s="36"/>
      <c r="U27">
        <v>1</v>
      </c>
      <c r="V27" s="13" t="s">
        <v>10</v>
      </c>
      <c r="AC27" s="86">
        <f>SUM(AC25:AC26)</f>
        <v>2.2</v>
      </c>
      <c r="AF27" s="83" t="s">
        <v>48</v>
      </c>
      <c r="AG27" s="84">
        <f>(3/5)*(7/12)</f>
        <v>0.35000000000000003</v>
      </c>
    </row>
    <row r="28" spans="1:33" ht="15.75">
      <c r="A28" s="1" t="s">
        <v>13</v>
      </c>
      <c r="B28" s="2">
        <v>30</v>
      </c>
      <c r="C28" s="3" t="str">
        <f>IF($U$27=1," $ million"," $/unit")</f>
        <v> $ million</v>
      </c>
      <c r="E28" s="114" t="s">
        <v>110</v>
      </c>
      <c r="F28" s="115">
        <v>0</v>
      </c>
      <c r="G28" s="116" t="s">
        <v>51</v>
      </c>
      <c r="H28" s="55"/>
      <c r="I28" s="59"/>
      <c r="J28" s="59"/>
      <c r="K28" s="60" t="s">
        <v>113</v>
      </c>
      <c r="L28" s="99">
        <f>IF((FC0/100)&lt;1,(FC0/100)+(SQRT((1-(sinal_pos/100))/(sinal_pos/100))*SQRT(Var_prior*Red_Var/100)),1)</f>
        <v>0.4529822128134704</v>
      </c>
      <c r="M28" s="13"/>
      <c r="N28" s="59"/>
      <c r="O28" s="1" t="s">
        <v>56</v>
      </c>
      <c r="P28" s="54">
        <f>-Inv+(FC_pos*Fdp)</f>
        <v>172.8882516498863</v>
      </c>
      <c r="Q28" s="3" t="str">
        <f>IF($U$27=1," $ million"," $/unit")</f>
        <v> $ million</v>
      </c>
      <c r="R28" s="97">
        <f>((Vcrit(Inv+(FC_pos*Idp),r_/100,delta/100,sigma/100,years+(months/12)))/(FC_pos*q_*B_*(EXP(-(delta/100)*2))))</f>
        <v>28.20440448611643</v>
      </c>
      <c r="S28" s="36"/>
      <c r="V28" s="13" t="s">
        <v>11</v>
      </c>
      <c r="AG28" s="85">
        <f>SUM(AG25:AG27)</f>
        <v>2.416666666666667</v>
      </c>
    </row>
    <row r="29" spans="1:29" ht="14.25">
      <c r="A29" s="4" t="str">
        <f>CONCATENATE("  Hence, EMV = E[V]  - Iw  =  ",ROUND(V30,2),C28)</f>
        <v>  Hence, EMV = E[V]  - Iw  =  59,58 $ million</v>
      </c>
      <c r="G29" s="36"/>
      <c r="H29" s="124"/>
      <c r="I29" s="36"/>
      <c r="J29" s="36"/>
      <c r="K29" s="60" t="s">
        <v>114</v>
      </c>
      <c r="L29" s="99">
        <f>IF((FC0/100)&lt;1,(FC0/100)-(SQRT((sinal_pos/100)/(1-(sinal_pos/100)))*SQRT(Var_prior*Red_Var/100)),1)</f>
        <v>0.1367544467966324</v>
      </c>
      <c r="M29" s="13"/>
      <c r="N29" s="36"/>
      <c r="O29" s="1" t="s">
        <v>57</v>
      </c>
      <c r="P29" s="54">
        <f>-Inv+(FC_neg*Fdp)</f>
        <v>31.251567569478432</v>
      </c>
      <c r="Q29" s="3" t="str">
        <f>IF($U$27=1," $ million"," $/unit")</f>
        <v> $ million</v>
      </c>
      <c r="R29" s="97">
        <f>((Vcrit(Inv+(FC_neg*Idp),r_/100,delta/100,sigma/100,years+(months/12)))/(FC_neg*q_*B_*(EXP(-(delta/100)*2))))</f>
        <v>33.10948402778393</v>
      </c>
      <c r="S29" s="36"/>
      <c r="AC29">
        <f>0.3*12/(4/5)</f>
        <v>4.499999999999999</v>
      </c>
    </row>
    <row r="30" spans="1:23" ht="15.75">
      <c r="A30" s="11" t="s">
        <v>102</v>
      </c>
      <c r="G30" s="128"/>
      <c r="H30" s="124"/>
      <c r="I30" s="41"/>
      <c r="J30" s="42"/>
      <c r="K30" s="43"/>
      <c r="L30" s="41"/>
      <c r="M30" s="42"/>
      <c r="N30" s="43"/>
      <c r="O30" s="36"/>
      <c r="P30" s="53" t="s">
        <v>63</v>
      </c>
      <c r="Q30" s="36"/>
      <c r="R30" s="36"/>
      <c r="S30" s="36"/>
      <c r="V30" s="8">
        <f>$B$26-$B$28</f>
        <v>59.57890438556001</v>
      </c>
      <c r="W30" s="15">
        <v>100</v>
      </c>
    </row>
    <row r="31" spans="1:22" ht="18" customHeight="1">
      <c r="A31" s="5" t="s">
        <v>0</v>
      </c>
      <c r="B31" s="6">
        <v>15</v>
      </c>
      <c r="D31" s="35" t="s">
        <v>105</v>
      </c>
      <c r="E31" s="32"/>
      <c r="F31" s="32"/>
      <c r="G31" s="129"/>
      <c r="H31" s="124"/>
      <c r="I31" s="36"/>
      <c r="J31" s="36"/>
      <c r="K31" s="60" t="s">
        <v>111</v>
      </c>
      <c r="L31" s="77">
        <f>(IF(years+(months/12)&lt;0,0,IF(AND(FC_pos*((q_*B_*P_*(EXP(-(delta/100)*2)))-Idp)&lt;Inv,years+(months/12)=0),0,BjStAmericanCall(FC_pos*q_*B_*P_*(EXP(-(delta/100)*2)),Inv+(FC_pos*Idp),years+(months/12),r_/100,delta/100,sigma/100))))</f>
        <v>172.88825164988623</v>
      </c>
      <c r="M31" s="3" t="str">
        <f>IF($U$27=1," $ million"," $/unit")</f>
        <v> $ million</v>
      </c>
      <c r="N31" s="36"/>
      <c r="O31" s="36"/>
      <c r="P31" s="34" t="s">
        <v>39</v>
      </c>
      <c r="Q31" s="100">
        <f>(((sinal_pos/100)*Op_pos)+((1-(sinal_pos/100))*Op_neg))</f>
        <v>60.67943280767498</v>
      </c>
      <c r="R31" s="113" t="str">
        <f>IF($U$27=1," $ million"," $/unit")</f>
        <v> $ million</v>
      </c>
      <c r="S31" s="36"/>
      <c r="V31" s="9"/>
    </row>
    <row r="32" spans="1:19" ht="14.25">
      <c r="A32" s="11" t="s">
        <v>103</v>
      </c>
      <c r="G32" s="129"/>
      <c r="H32" s="124"/>
      <c r="I32" s="36"/>
      <c r="J32" s="36"/>
      <c r="K32" s="60" t="s">
        <v>112</v>
      </c>
      <c r="L32" s="77">
        <f>IF(years+(months/12)&lt;0,0,IF(AND(FC_neg*((q_*B_*P_*(EXP(-(delta/100)*2)))-Idp)&lt;Inv,years+(months/12)=0),0,BjStAmericanCall(FC_neg*q_*B_*P_*(EXP(-(delta/100)*2)),Inv+(FC_neg*Idp),years+(months/12),r_/100,delta/100,sigma/100)))</f>
        <v>32.62722809712216</v>
      </c>
      <c r="M32" s="3" t="str">
        <f>IF($U$27=1," $ million"," $/unit")</f>
        <v> $ million</v>
      </c>
      <c r="N32" s="36"/>
      <c r="O32" s="36"/>
      <c r="P32" s="28" t="s">
        <v>37</v>
      </c>
      <c r="Q32" s="100">
        <f>((sinal_pos/100)*MAX(0,EMV_pos))+((1-(sinal_pos/100))*MAX(0,EMV_neg))</f>
        <v>59.578904385560016</v>
      </c>
      <c r="R32" s="113" t="str">
        <f>IF($U$27=1," $ million"," $/unit")</f>
        <v> $ million</v>
      </c>
      <c r="S32" s="36"/>
    </row>
    <row r="33" spans="1:19" ht="18" customHeight="1">
      <c r="A33" s="5" t="s">
        <v>1</v>
      </c>
      <c r="B33" s="2">
        <v>2</v>
      </c>
      <c r="D33" s="3" t="s">
        <v>106</v>
      </c>
      <c r="E33" s="2">
        <v>0</v>
      </c>
      <c r="F33" s="33" t="s">
        <v>107</v>
      </c>
      <c r="G33" s="36"/>
      <c r="H33" s="124"/>
      <c r="I33" s="41"/>
      <c r="J33" s="42"/>
      <c r="K33" s="43"/>
      <c r="L33" s="90" t="str">
        <f>IF(P_&gt;=((Vcrit(Inv+(FC_neg*Idp),r_/100,delta/100,sigma/100,years+(months/12)))/(FC_neg*q_*B_*(EXP(-(delta/100)*2)))),"deep-in-the-money even in case of bad news","wait in case of bad news")</f>
        <v>wait in case of bad news</v>
      </c>
      <c r="M33" s="42"/>
      <c r="N33" s="43"/>
      <c r="O33" s="36"/>
      <c r="P33" s="28" t="s">
        <v>38</v>
      </c>
      <c r="Q33" s="100">
        <f>Q31-Q32</f>
        <v>1.1005284221149623</v>
      </c>
      <c r="R33" s="113" t="str">
        <f>IF($U$27=1," $ million"," $/unit")</f>
        <v> $ million</v>
      </c>
      <c r="S33" s="36"/>
    </row>
    <row r="34" spans="1:19" ht="14.25">
      <c r="A34" s="11" t="s">
        <v>104</v>
      </c>
      <c r="G34" s="36"/>
      <c r="H34" s="124"/>
      <c r="I34" s="36"/>
      <c r="J34" s="36"/>
      <c r="K34" s="66" t="s">
        <v>35</v>
      </c>
      <c r="L34" s="79" t="e">
        <f>((sinal_pos/100)*EV_pos)+((1-(sinal_pos/100))*EV_neg)</f>
        <v>#NAME?</v>
      </c>
      <c r="M34" s="67"/>
      <c r="N34" s="68"/>
      <c r="O34" s="36"/>
      <c r="P34" s="34" t="s">
        <v>64</v>
      </c>
      <c r="Q34" s="100">
        <f>EXP(-(r_/100)*tR_)*(((sinal_pos/100)*Op_pos)+((1-(sinal_pos/100))*Op_neg))</f>
        <v>60.67943280767498</v>
      </c>
      <c r="R34" s="36"/>
      <c r="S34" s="36"/>
    </row>
    <row r="35" spans="1:19" ht="18" customHeight="1">
      <c r="A35" s="1" t="s">
        <v>2</v>
      </c>
      <c r="B35" s="6">
        <v>5</v>
      </c>
      <c r="D35" s="3" t="s">
        <v>108</v>
      </c>
      <c r="G35" s="36"/>
      <c r="H35" s="36"/>
      <c r="I35" s="36"/>
      <c r="J35" s="36"/>
      <c r="K35" s="78" t="s">
        <v>36</v>
      </c>
      <c r="L35" s="89" t="e">
        <f>V_inf-V0</f>
        <v>#NAME?</v>
      </c>
      <c r="M35" s="36"/>
      <c r="N35" s="36"/>
      <c r="O35" s="36"/>
      <c r="P35" s="44"/>
      <c r="Q35" s="45"/>
      <c r="R35" s="46"/>
      <c r="S35" s="36"/>
    </row>
    <row r="36" spans="1:19" ht="12.75">
      <c r="A36" s="11" t="s">
        <v>109</v>
      </c>
      <c r="G36" s="36"/>
      <c r="H36" s="36"/>
      <c r="I36" s="36"/>
      <c r="J36" s="47"/>
      <c r="K36" s="36"/>
      <c r="L36" s="36"/>
      <c r="M36" s="36"/>
      <c r="N36" s="36"/>
      <c r="O36" s="36"/>
      <c r="P36" s="44"/>
      <c r="Q36" s="45"/>
      <c r="R36" s="46"/>
      <c r="S36" s="36"/>
    </row>
    <row r="37" spans="1:19" ht="18" customHeight="1">
      <c r="A37" s="5" t="s">
        <v>3</v>
      </c>
      <c r="B37" s="7">
        <v>5</v>
      </c>
      <c r="D37" s="3" t="s">
        <v>108</v>
      </c>
      <c r="G37" s="36"/>
      <c r="H37" s="36"/>
      <c r="I37" s="36"/>
      <c r="J37" s="48"/>
      <c r="K37" s="47"/>
      <c r="L37" s="36"/>
      <c r="M37" s="36"/>
      <c r="N37" s="36"/>
      <c r="O37" s="36"/>
      <c r="P37" s="49"/>
      <c r="Q37" s="50"/>
      <c r="R37" s="51"/>
      <c r="S37" s="36"/>
    </row>
    <row r="38" spans="1:19" ht="6.75" customHeight="1" thickBot="1">
      <c r="A38" s="12"/>
      <c r="B38" s="12"/>
      <c r="C38" s="12"/>
      <c r="D38" s="12"/>
      <c r="E38" s="12"/>
      <c r="F38" s="12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7:19" ht="12.75"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7:19" ht="12.75"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</sheetData>
  <mergeCells count="11">
    <mergeCell ref="I4:N4"/>
    <mergeCell ref="I5:K6"/>
    <mergeCell ref="L5:N6"/>
    <mergeCell ref="H7:H9"/>
    <mergeCell ref="A24:B24"/>
    <mergeCell ref="H32:H34"/>
    <mergeCell ref="F9:F10"/>
    <mergeCell ref="G8:G10"/>
    <mergeCell ref="G30:G32"/>
    <mergeCell ref="H10:H12"/>
    <mergeCell ref="H29:H31"/>
  </mergeCells>
  <conditionalFormatting sqref="N32:N33 L33:M33 F27 B23">
    <cfRule type="expression" priority="1" dxfId="0" stopIfTrue="1">
      <formula>$Q$32="sim"</formula>
    </cfRule>
  </conditionalFormatting>
  <conditionalFormatting sqref="I29:J31 K30">
    <cfRule type="expression" priority="2" dxfId="0" stopIfTrue="1">
      <formula>$P$31="sim"</formula>
    </cfRule>
  </conditionalFormatting>
  <conditionalFormatting sqref="N29:N31 L30:M30 N34">
    <cfRule type="expression" priority="3" dxfId="0" stopIfTrue="1">
      <formula>$Q$31="sim"</formula>
    </cfRule>
  </conditionalFormatting>
  <conditionalFormatting sqref="I32:J34 K33">
    <cfRule type="expression" priority="4" dxfId="0" stopIfTrue="1">
      <formula>$P$32="sim"</formula>
    </cfRule>
  </conditionalFormatting>
  <conditionalFormatting sqref="I7:K9">
    <cfRule type="expression" priority="5" dxfId="0" stopIfTrue="1">
      <formula>$P$9="yes"</formula>
    </cfRule>
  </conditionalFormatting>
  <conditionalFormatting sqref="I10:K12">
    <cfRule type="expression" priority="6" dxfId="0" stopIfTrue="1">
      <formula>$P$10="yes"</formula>
    </cfRule>
  </conditionalFormatting>
  <conditionalFormatting sqref="L10:N12">
    <cfRule type="expression" priority="7" dxfId="0" stopIfTrue="1">
      <formula>$Q$10="yes"</formula>
    </cfRule>
  </conditionalFormatting>
  <conditionalFormatting sqref="L7:N9">
    <cfRule type="expression" priority="8" dxfId="0" stopIfTrue="1">
      <formula>$Q$9="yes"</formula>
    </cfRule>
  </conditionalFormatting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F450"/>
  <sheetViews>
    <sheetView workbookViewId="0" topLeftCell="Y1">
      <selection activeCell="AA18" sqref="AA18"/>
    </sheetView>
  </sheetViews>
  <sheetFormatPr defaultColWidth="9.140625" defaultRowHeight="12.75"/>
  <cols>
    <col min="2" max="5" width="8.8515625" style="10" customWidth="1"/>
    <col min="6" max="6" width="14.7109375" style="10" customWidth="1"/>
    <col min="7" max="7" width="11.28125" style="0" customWidth="1"/>
    <col min="8" max="8" width="10.28125" style="0" customWidth="1"/>
    <col min="16" max="16" width="14.421875" style="0" customWidth="1"/>
    <col min="17" max="17" width="7.00390625" style="0" customWidth="1"/>
    <col min="18" max="18" width="8.00390625" style="0" customWidth="1"/>
    <col min="19" max="20" width="8.421875" style="0" customWidth="1"/>
    <col min="21" max="21" width="7.8515625" style="0" customWidth="1"/>
    <col min="22" max="22" width="7.00390625" style="0" customWidth="1"/>
  </cols>
  <sheetData>
    <row r="1" spans="3:12" ht="14.25" customHeight="1">
      <c r="C1" s="11" t="s">
        <v>8</v>
      </c>
      <c r="K1" s="14" t="s">
        <v>16</v>
      </c>
      <c r="L1">
        <f>Main!$Q$31/Main!$Q$13</f>
        <v>1.0184717801286345</v>
      </c>
    </row>
    <row r="2" spans="1:26" ht="15.75">
      <c r="A2" s="102" t="s">
        <v>68</v>
      </c>
      <c r="B2" s="103">
        <v>0.5</v>
      </c>
      <c r="M2" s="85" t="s">
        <v>76</v>
      </c>
      <c r="R2" s="102" t="s">
        <v>77</v>
      </c>
      <c r="S2" s="103">
        <v>0.02</v>
      </c>
      <c r="T2" s="108" t="s">
        <v>81</v>
      </c>
      <c r="Z2" s="120" t="s">
        <v>118</v>
      </c>
    </row>
    <row r="3" spans="1:30" ht="14.25">
      <c r="A3" s="8" t="s">
        <v>7</v>
      </c>
      <c r="B3" s="105" t="s">
        <v>69</v>
      </c>
      <c r="C3" s="105" t="s">
        <v>30</v>
      </c>
      <c r="D3" s="8" t="s">
        <v>4</v>
      </c>
      <c r="E3" s="8" t="s">
        <v>5</v>
      </c>
      <c r="F3" s="11" t="s">
        <v>6</v>
      </c>
      <c r="G3" s="104" t="s">
        <v>29</v>
      </c>
      <c r="H3" s="105" t="s">
        <v>70</v>
      </c>
      <c r="I3" s="104" t="s">
        <v>71</v>
      </c>
      <c r="M3" s="105" t="s">
        <v>69</v>
      </c>
      <c r="N3" s="105" t="s">
        <v>30</v>
      </c>
      <c r="O3" s="105" t="s">
        <v>70</v>
      </c>
      <c r="P3" s="104" t="s">
        <v>78</v>
      </c>
      <c r="S3" s="103" t="s">
        <v>80</v>
      </c>
      <c r="T3" s="103" t="s">
        <v>82</v>
      </c>
      <c r="U3" s="109" t="s">
        <v>83</v>
      </c>
      <c r="Z3" s="83" t="s">
        <v>120</v>
      </c>
      <c r="AA3" s="121">
        <f>0.2</f>
        <v>0.2</v>
      </c>
      <c r="AD3" s="71" t="s">
        <v>126</v>
      </c>
    </row>
    <row r="4" spans="1:32" ht="15.75">
      <c r="A4" s="10">
        <v>0.6</v>
      </c>
      <c r="B4" s="10">
        <v>16</v>
      </c>
      <c r="C4" s="10">
        <f>-Inv+((FC0/100)*BjStAmericanCall(q_*B_*B4*(EXP(-(delta/100)*2)),Idp,years+(months/12),r_/100,delta/100,sigma/100))</f>
        <v>-27.884441685102058</v>
      </c>
      <c r="D4" s="10">
        <f>B4/Main!$B$28</f>
        <v>0.5333333333333333</v>
      </c>
      <c r="E4" s="10">
        <f>C4/Main!$B$28</f>
        <v>-0.9294813895034019</v>
      </c>
      <c r="F4" s="10">
        <f>MAX(0,B4-Main!$B$28)/Main!$B$28</f>
        <v>0</v>
      </c>
      <c r="G4" s="10">
        <f>MAX(0,-Inv+((FC0/100)*BjStAmericanCall(q_*B_*B4*(EXP(-(delta/100)*2)),Idp,years+(months/12),r_/100,delta/100,sigma/100)))</f>
        <v>0</v>
      </c>
      <c r="H4">
        <f>EXP(-(r_/100)*tR_)*(((sinal_pos/100)*(IF(years+(months/12)&lt;0,0,IF(AND(FC_pos*((q_*B_*B4*(EXP(-(delta/100)*2)))-Idp)&lt;Inv,years+(months/12)=0),0,BjStAmericanCall(FC_pos*q_*B_*B4*(EXP(-(delta/100)*2)),Inv+(FC_pos*Idp),years+(months/12),r_/100,delta/100,sigma/100)))))+((1-(sinal_pos/100))*IF(years+(months/12)&lt;0,0,IF(AND(FC_neg*((q_*B_*B4*(EXP(-(delta/100)*2)))-Idp)&lt;Inv,years+(months/12)=0),0,BjStAmericanCall(FC_neg*q_*B_*B4*(EXP(-(delta/100)*2)),Inv+(FC_neg*Idp),years+(months/12),r_/100,delta/100,sigma/100)))))</f>
        <v>0.5516472890615841</v>
      </c>
      <c r="I4">
        <f>BjStAmericanCall((FC0/100)*q_*B_*B4*(EXP(-(delta/100)*2)),Inv+((FC0/100)*Idp),years+(months/12),r_/100,delta/100,sigma/100)</f>
        <v>0.383104149026686</v>
      </c>
      <c r="M4" s="10">
        <f>ROUNDDOWN(P_thres_E,1)</f>
        <v>30.8</v>
      </c>
      <c r="N4">
        <f>-Inv+((FC0/100)*BjStAmericanCall(q_*B_*M4*(EXP(-(delta/100)*2)),Idp,years+(months/12),r_/100,delta/100,sigma/100))</f>
        <v>57.950197033095264</v>
      </c>
      <c r="O4">
        <f>EXP(-(r_/100)*tR_)*(((sinal_pos/100)*(IF(years+(months/12)&lt;0,0,IF(AND(FC_pos*((q_*B_*M4*(EXP(-(delta/100)*2)))-Idp)&lt;Inv,years+(months/12)=0),0,BjStAmericanCall(FC_pos*q_*B_*M4*(EXP(-(delta/100)*2)),Inv+(FC_pos*Idp),years+(months/12),r_/100,delta/100,sigma/100)))))+((1-(sinal_pos/100))*IF(years+(months/12)&lt;0,0,IF(AND(FC_neg*((q_*B_*M4*(EXP(-(delta/100)*2)))-Idp)&lt;Inv,years+(months/12)=0),0,BjStAmericanCall(FC_neg*q_*B_*M4*(EXP(-(delta/100)*2)),Inv+(FC_neg*Idp),years+(months/12),r_/100,delta/100,sigma/100)))))</f>
        <v>59.195267391848006</v>
      </c>
      <c r="P4" s="10">
        <f>O4-N4</f>
        <v>1.2450703587527414</v>
      </c>
      <c r="Q4" s="10" t="s">
        <v>79</v>
      </c>
      <c r="R4" s="10" t="str">
        <f>IF(AND(Q4="no",Q5="yes"),"yes","no")</f>
        <v>no</v>
      </c>
      <c r="S4" s="103">
        <f>MATCH("yes",(R4:R450),0)</f>
        <v>116</v>
      </c>
      <c r="T4" s="110">
        <f>INDEX(M4:M450,S4)</f>
        <v>33.10000000000014</v>
      </c>
      <c r="U4" s="103">
        <f>INDEX(P4:P450,S4)</f>
        <v>0.0033990980914353486</v>
      </c>
      <c r="Z4" s="119" t="s">
        <v>119</v>
      </c>
      <c r="AA4" s="103" t="s">
        <v>122</v>
      </c>
      <c r="AB4" s="103" t="s">
        <v>121</v>
      </c>
      <c r="AC4" t="s">
        <v>123</v>
      </c>
      <c r="AD4" s="103" t="s">
        <v>124</v>
      </c>
      <c r="AE4" s="103" t="s">
        <v>125</v>
      </c>
      <c r="AF4" t="s">
        <v>123</v>
      </c>
    </row>
    <row r="5" spans="1:32" ht="12.75">
      <c r="A5" s="10">
        <v>0.62</v>
      </c>
      <c r="B5" s="10">
        <f>B4+deltaP</f>
        <v>16.5</v>
      </c>
      <c r="C5" s="10">
        <f aca="true" t="shared" si="0" ref="C5:C17">-Inv+((FC0/100)*BjStAmericanCall(q_*B_*B5*(EXP(-(delta/100)*2)),Idp,years+(months/12),r_/100,delta/100,sigma/100))</f>
        <v>-27.170035605260146</v>
      </c>
      <c r="D5" s="10">
        <f>B5/Main!$B$28</f>
        <v>0.55</v>
      </c>
      <c r="E5" s="10">
        <f>C5/Main!$B$28</f>
        <v>-0.9056678535086715</v>
      </c>
      <c r="F5" s="10">
        <f>MAX(0,B5-Main!$B$28)/Main!$B$28</f>
        <v>0</v>
      </c>
      <c r="G5" s="10">
        <f aca="true" t="shared" si="1" ref="G5:G68">MAX(0,-Inv+((FC0/100)*BjStAmericanCall(q_*B_*B5*(EXP(-(delta/100)*2)),Idp,years+(months/12),r_/100,delta/100,sigma/100)))</f>
        <v>0</v>
      </c>
      <c r="H5">
        <f aca="true" t="shared" si="2" ref="H5:H68">EXP(-(r_/100)*tR_)*(((sinal_pos/100)*(IF(years+(months/12)&lt;0,0,IF(AND(FC_pos*((q_*B_*B5*(EXP(-(delta/100)*2)))-Idp)&lt;Inv,years+(months/12)=0),0,BjStAmericanCall(FC_pos*q_*B_*B5*(EXP(-(delta/100)*2)),Inv+(FC_pos*Idp),years+(months/12),r_/100,delta/100,sigma/100)))))+((1-(sinal_pos/100))*IF(years+(months/12)&lt;0,0,IF(AND(FC_neg*((q_*B_*B5*(EXP(-(delta/100)*2)))-Idp)&lt;Inv,years+(months/12)=0),0,BjStAmericanCall(FC_neg*q_*B_*B5*(EXP(-(delta/100)*2)),Inv+(FC_neg*Idp),years+(months/12),r_/100,delta/100,sigma/100)))))</f>
        <v>0.7787347453369188</v>
      </c>
      <c r="I5">
        <f aca="true" t="shared" si="3" ref="I5:I68">BjStAmericanCall((FC0/100)*q_*B_*B5*(EXP(-(delta/100)*2)),Inv+((FC0/100)*Idp),years+(months/12),r_/100,delta/100,sigma/100)</f>
        <v>0.5592949383498971</v>
      </c>
      <c r="M5" s="10">
        <f>M4+deltaP_S</f>
        <v>30.82</v>
      </c>
      <c r="N5">
        <f aca="true" t="shared" si="4" ref="N5:N68">-Inv+((FC0/100)*BjStAmericanCall(q_*B_*M5*(EXP(-(delta/100)*2)),Idp,years+(months/12),r_/100,delta/100,sigma/100))</f>
        <v>58.113067768341764</v>
      </c>
      <c r="O5">
        <f aca="true" t="shared" si="5" ref="O5:O68">EXP(-(r_/100)*tR_)*(((sinal_pos/100)*(IF(years+(months/12)&lt;0,0,IF(AND(FC_pos*((q_*B_*M5*(EXP(-(delta/100)*2)))-Idp)&lt;Inv,years+(months/12)=0),0,BjStAmericanCall(FC_pos*q_*B_*M5*(EXP(-(delta/100)*2)),Inv+(FC_pos*Idp),years+(months/12),r_/100,delta/100,sigma/100)))))+((1-(sinal_pos/100))*IF(years+(months/12)&lt;0,0,IF(AND(FC_neg*((q_*B_*M5*(EXP(-(delta/100)*2)))-Idp)&lt;Inv,years+(months/12)=0),0,BjStAmericanCall(FC_neg*q_*B_*M5*(EXP(-(delta/100)*2)),Inv+(FC_neg*Idp),years+(months/12),r_/100,delta/100,sigma/100)))))</f>
        <v>59.343335614273656</v>
      </c>
      <c r="P5" s="10">
        <f aca="true" t="shared" si="6" ref="P5:P68">O5-N5</f>
        <v>1.2302678459318912</v>
      </c>
      <c r="Q5" s="10" t="str">
        <f>IF(AND(Q4="no",P5&lt;=0),"yes",IF(AND(Q4="no",P5&gt;0),"no",""))</f>
        <v>no</v>
      </c>
      <c r="R5" s="10" t="str">
        <f aca="true" t="shared" si="7" ref="R5:R68">IF(AND(Q5="no",Q6="yes"),"yes","no")</f>
        <v>no</v>
      </c>
      <c r="S5" s="103">
        <f>MATCH("yes",(Q4:Q450),0)</f>
        <v>117</v>
      </c>
      <c r="T5" s="110">
        <f>INDEX(M4:M450,S5)</f>
        <v>33.12000000000015</v>
      </c>
      <c r="U5" s="103">
        <f>INDEX(P4:P450,S5)</f>
        <v>0</v>
      </c>
      <c r="Z5" s="10">
        <v>0</v>
      </c>
      <c r="AA5" s="10">
        <v>30.887570242973307</v>
      </c>
      <c r="AB5" s="10">
        <v>33.12000000000015</v>
      </c>
      <c r="AC5" s="10">
        <f>AB5-AA5</f>
        <v>2.232429757026839</v>
      </c>
      <c r="AD5" s="10">
        <v>29.58701431656414</v>
      </c>
      <c r="AE5" s="10">
        <v>36.710000000000676</v>
      </c>
      <c r="AF5" s="10">
        <f>AE5-AD5</f>
        <v>7.122985683436536</v>
      </c>
    </row>
    <row r="6" spans="1:32" ht="12.75">
      <c r="A6" s="10">
        <v>0.64</v>
      </c>
      <c r="B6" s="10">
        <f aca="true" t="shared" si="8" ref="B6:B69">B5+deltaP</f>
        <v>17</v>
      </c>
      <c r="C6" s="10">
        <f t="shared" si="0"/>
        <v>-26.299544177237163</v>
      </c>
      <c r="D6" s="10">
        <f>B6/Main!$B$28</f>
        <v>0.5666666666666667</v>
      </c>
      <c r="E6" s="10">
        <f>C6/Main!$B$28</f>
        <v>-0.8766514725745721</v>
      </c>
      <c r="F6" s="10">
        <f>MAX(0,B6-Main!$B$28)/Main!$B$28</f>
        <v>0</v>
      </c>
      <c r="G6" s="10">
        <f t="shared" si="1"/>
        <v>0</v>
      </c>
      <c r="H6">
        <f t="shared" si="2"/>
        <v>1.0726618331487596</v>
      </c>
      <c r="I6">
        <f t="shared" si="3"/>
        <v>0.7946015011334939</v>
      </c>
      <c r="M6" s="10">
        <f aca="true" t="shared" si="9" ref="M6:M69">M5+deltaP_S</f>
        <v>30.84</v>
      </c>
      <c r="N6">
        <f t="shared" si="4"/>
        <v>58.27593850358822</v>
      </c>
      <c r="O6">
        <f t="shared" si="5"/>
        <v>59.49148180766164</v>
      </c>
      <c r="P6" s="10">
        <f t="shared" si="6"/>
        <v>1.215543304073421</v>
      </c>
      <c r="Q6" s="10" t="str">
        <f aca="true" t="shared" si="10" ref="Q6:Q69">IF(AND(Q5="no",P6&lt;=0),"yes",IF(AND(Q5="no",P6&gt;0),"no",""))</f>
        <v>no</v>
      </c>
      <c r="R6" s="10" t="str">
        <f t="shared" si="7"/>
        <v>no</v>
      </c>
      <c r="S6" s="10"/>
      <c r="T6" s="10"/>
      <c r="Z6" s="10">
        <f>Z5+time_step</f>
        <v>0.2</v>
      </c>
      <c r="AA6" s="10">
        <v>30.628654172856102</v>
      </c>
      <c r="AB6" s="10">
        <v>32.8400000000001</v>
      </c>
      <c r="AC6" s="10">
        <f aca="true" t="shared" si="11" ref="AC6:AC19">AB6-AA6</f>
        <v>2.211345827144001</v>
      </c>
      <c r="AD6" s="10">
        <v>29.27307658922102</v>
      </c>
      <c r="AE6" s="10">
        <v>36.39000000000054</v>
      </c>
      <c r="AF6" s="10">
        <f aca="true" t="shared" si="12" ref="AF6:AF19">AE6-AD6</f>
        <v>7.1169234107795205</v>
      </c>
    </row>
    <row r="7" spans="1:32" ht="12.75">
      <c r="A7" s="10">
        <v>0.66</v>
      </c>
      <c r="B7" s="10">
        <f t="shared" si="8"/>
        <v>17.5</v>
      </c>
      <c r="C7" s="10">
        <f t="shared" si="0"/>
        <v>-25.260222388627504</v>
      </c>
      <c r="D7" s="10">
        <f>B7/Main!$B$28</f>
        <v>0.5833333333333334</v>
      </c>
      <c r="E7" s="10">
        <f>C7/Main!$B$28</f>
        <v>-0.8420074129542502</v>
      </c>
      <c r="F7" s="10">
        <f>MAX(0,B7-Main!$B$28)/Main!$B$28</f>
        <v>0</v>
      </c>
      <c r="G7" s="10">
        <f t="shared" si="1"/>
        <v>0</v>
      </c>
      <c r="H7">
        <f t="shared" si="2"/>
        <v>1.444795327458703</v>
      </c>
      <c r="I7">
        <f t="shared" si="3"/>
        <v>1.101129965182688</v>
      </c>
      <c r="M7" s="10">
        <f t="shared" si="9"/>
        <v>30.86</v>
      </c>
      <c r="N7">
        <f t="shared" si="4"/>
        <v>58.43880923883472</v>
      </c>
      <c r="O7">
        <f t="shared" si="5"/>
        <v>59.63970575906208</v>
      </c>
      <c r="P7" s="10">
        <f t="shared" si="6"/>
        <v>1.20089652022736</v>
      </c>
      <c r="Q7" s="10" t="str">
        <f t="shared" si="10"/>
        <v>no</v>
      </c>
      <c r="R7" s="10" t="str">
        <f t="shared" si="7"/>
        <v>no</v>
      </c>
      <c r="T7" s="111" t="s">
        <v>84</v>
      </c>
      <c r="Z7" s="10">
        <f aca="true" t="shared" si="13" ref="Z7:Z14">Z6+time_step</f>
        <v>0.4</v>
      </c>
      <c r="AA7" s="10">
        <v>30.344494777996115</v>
      </c>
      <c r="AB7" s="10">
        <v>32.54000000000005</v>
      </c>
      <c r="AC7" s="10">
        <f t="shared" si="11"/>
        <v>2.195505222003934</v>
      </c>
      <c r="AD7" s="10">
        <v>28.918010975478584</v>
      </c>
      <c r="AE7" s="10">
        <v>36.07000000000049</v>
      </c>
      <c r="AF7" s="10">
        <f t="shared" si="12"/>
        <v>7.151989024521907</v>
      </c>
    </row>
    <row r="8" spans="1:32" ht="15">
      <c r="A8" s="10">
        <v>0.68</v>
      </c>
      <c r="B8" s="10">
        <f t="shared" si="8"/>
        <v>18</v>
      </c>
      <c r="C8" s="10">
        <f t="shared" si="0"/>
        <v>-24.04190127329372</v>
      </c>
      <c r="D8" s="10">
        <f>B8/Main!$B$28</f>
        <v>0.6</v>
      </c>
      <c r="E8" s="10">
        <f>C8/Main!$B$28</f>
        <v>-0.8013967091097907</v>
      </c>
      <c r="F8" s="10">
        <f>MAX(0,B8-Main!$B$28)/Main!$B$28</f>
        <v>0</v>
      </c>
      <c r="G8" s="10">
        <f t="shared" si="1"/>
        <v>0</v>
      </c>
      <c r="H8">
        <f t="shared" si="2"/>
        <v>1.9065596474459532</v>
      </c>
      <c r="I8">
        <f t="shared" si="3"/>
        <v>1.4914453406206791</v>
      </c>
      <c r="M8" s="10">
        <f t="shared" si="9"/>
        <v>30.88</v>
      </c>
      <c r="N8">
        <f t="shared" si="4"/>
        <v>58.60167997408112</v>
      </c>
      <c r="O8">
        <f t="shared" si="5"/>
        <v>59.78800725577017</v>
      </c>
      <c r="P8" s="10">
        <f t="shared" si="6"/>
        <v>1.1863272816890458</v>
      </c>
      <c r="Q8" s="10" t="str">
        <f t="shared" si="10"/>
        <v>no</v>
      </c>
      <c r="R8" s="10" t="str">
        <f t="shared" si="7"/>
        <v>no</v>
      </c>
      <c r="S8" s="10"/>
      <c r="T8" s="14" t="s">
        <v>85</v>
      </c>
      <c r="U8" s="52">
        <f>T4+(((T5-T4)*(U4))/(U4-U5))</f>
        <v>33.12000000000015</v>
      </c>
      <c r="V8" t="s">
        <v>86</v>
      </c>
      <c r="Z8" s="10">
        <f t="shared" si="13"/>
        <v>0.6000000000000001</v>
      </c>
      <c r="AA8" s="10">
        <v>30.029720847994366</v>
      </c>
      <c r="AB8" s="10">
        <v>32.2</v>
      </c>
      <c r="AC8" s="10">
        <f t="shared" si="11"/>
        <v>2.1702791520056373</v>
      </c>
      <c r="AD8" s="10">
        <v>28.511464715584797</v>
      </c>
      <c r="AE8" s="10">
        <v>35.690000000000424</v>
      </c>
      <c r="AF8" s="10">
        <f t="shared" si="12"/>
        <v>7.178535284415627</v>
      </c>
    </row>
    <row r="9" spans="1:32" ht="12.75">
      <c r="A9" s="10">
        <v>0.7</v>
      </c>
      <c r="B9" s="10">
        <f t="shared" si="8"/>
        <v>18.5</v>
      </c>
      <c r="C9" s="10">
        <f t="shared" si="0"/>
        <v>-22.637215015053727</v>
      </c>
      <c r="D9" s="10">
        <f>B9/Main!$B$28</f>
        <v>0.6166666666666667</v>
      </c>
      <c r="E9" s="10">
        <f>C9/Main!$B$28</f>
        <v>-0.7545738338351242</v>
      </c>
      <c r="F9" s="10">
        <f>MAX(0,B9-Main!$B$28)/Main!$B$28</f>
        <v>0</v>
      </c>
      <c r="G9" s="10">
        <f t="shared" si="1"/>
        <v>0</v>
      </c>
      <c r="H9">
        <f t="shared" si="2"/>
        <v>2.4691201868874555</v>
      </c>
      <c r="I9">
        <f t="shared" si="3"/>
        <v>1.9781932459135445</v>
      </c>
      <c r="M9" s="10">
        <f t="shared" si="9"/>
        <v>30.9</v>
      </c>
      <c r="N9">
        <f t="shared" si="4"/>
        <v>58.76455070932762</v>
      </c>
      <c r="O9">
        <f t="shared" si="5"/>
        <v>59.936386085329815</v>
      </c>
      <c r="P9" s="10">
        <f t="shared" si="6"/>
        <v>1.1718353760021927</v>
      </c>
      <c r="Q9" s="10" t="str">
        <f t="shared" si="10"/>
        <v>no</v>
      </c>
      <c r="R9" s="10" t="str">
        <f t="shared" si="7"/>
        <v>no</v>
      </c>
      <c r="S9" s="10"/>
      <c r="T9" s="10"/>
      <c r="Z9" s="10">
        <f t="shared" si="13"/>
        <v>0.8</v>
      </c>
      <c r="AA9" s="10">
        <v>29.676897627199285</v>
      </c>
      <c r="AB9" s="10">
        <v>31.82</v>
      </c>
      <c r="AC9" s="10">
        <f t="shared" si="11"/>
        <v>2.1431023728007155</v>
      </c>
      <c r="AD9" s="10">
        <v>28.039881550340645</v>
      </c>
      <c r="AE9" s="10">
        <v>35.270000000000366</v>
      </c>
      <c r="AF9" s="10">
        <f t="shared" si="12"/>
        <v>7.23011844965972</v>
      </c>
    </row>
    <row r="10" spans="1:32" ht="12.75">
      <c r="A10" s="10">
        <v>0.72</v>
      </c>
      <c r="B10" s="10">
        <f t="shared" si="8"/>
        <v>19</v>
      </c>
      <c r="C10" s="10">
        <f t="shared" si="0"/>
        <v>-21.041660000557656</v>
      </c>
      <c r="D10" s="10">
        <f>B10/Main!$B$28</f>
        <v>0.6333333333333333</v>
      </c>
      <c r="E10" s="10">
        <f>C10/Main!$B$28</f>
        <v>-0.7013886666852552</v>
      </c>
      <c r="F10" s="10">
        <f>MAX(0,B10-Main!$B$28)/Main!$B$28</f>
        <v>0</v>
      </c>
      <c r="G10" s="10">
        <f t="shared" si="1"/>
        <v>0</v>
      </c>
      <c r="H10">
        <f t="shared" si="2"/>
        <v>3.1430825595400393</v>
      </c>
      <c r="I10">
        <f t="shared" si="3"/>
        <v>2.573711623979873</v>
      </c>
      <c r="M10" s="10">
        <f t="shared" si="9"/>
        <v>30.919999999999998</v>
      </c>
      <c r="N10">
        <f t="shared" si="4"/>
        <v>58.927421444574065</v>
      </c>
      <c r="O10">
        <f t="shared" si="5"/>
        <v>60.08484203553589</v>
      </c>
      <c r="P10" s="10">
        <f t="shared" si="6"/>
        <v>1.1574205909618271</v>
      </c>
      <c r="Q10" s="10" t="str">
        <f t="shared" si="10"/>
        <v>no</v>
      </c>
      <c r="R10" s="10" t="str">
        <f t="shared" si="7"/>
        <v>no</v>
      </c>
      <c r="S10" s="10"/>
      <c r="T10" s="10"/>
      <c r="U10" s="10"/>
      <c r="Z10" s="10">
        <f t="shared" si="13"/>
        <v>1</v>
      </c>
      <c r="AA10" s="10">
        <v>29.275236887780572</v>
      </c>
      <c r="AB10" s="10">
        <v>31.399999999997174</v>
      </c>
      <c r="AC10" s="10">
        <f t="shared" si="11"/>
        <v>2.124763112216602</v>
      </c>
      <c r="AD10" s="10">
        <v>27.486963422861397</v>
      </c>
      <c r="AE10" s="10">
        <v>34.79000000000029</v>
      </c>
      <c r="AF10" s="10">
        <f t="shared" si="12"/>
        <v>7.303036577138894</v>
      </c>
    </row>
    <row r="11" spans="1:32" ht="12.75">
      <c r="A11" s="10">
        <v>0.74</v>
      </c>
      <c r="B11" s="10">
        <f t="shared" si="8"/>
        <v>19.5</v>
      </c>
      <c r="C11" s="10">
        <f t="shared" si="0"/>
        <v>-19.253500413430803</v>
      </c>
      <c r="D11" s="10">
        <f>B11/Main!$B$28</f>
        <v>0.65</v>
      </c>
      <c r="E11" s="10">
        <f>C11/Main!$B$28</f>
        <v>-0.6417833471143601</v>
      </c>
      <c r="F11" s="10">
        <f>MAX(0,B11-Main!$B$28)/Main!$B$28</f>
        <v>0</v>
      </c>
      <c r="G11" s="10">
        <f t="shared" si="1"/>
        <v>0</v>
      </c>
      <c r="H11">
        <f t="shared" si="2"/>
        <v>3.938223487582863</v>
      </c>
      <c r="I11">
        <f t="shared" si="3"/>
        <v>3.2896576859971303</v>
      </c>
      <c r="M11" s="10">
        <f t="shared" si="9"/>
        <v>30.939999999999998</v>
      </c>
      <c r="N11">
        <f t="shared" si="4"/>
        <v>59.090292179820565</v>
      </c>
      <c r="O11">
        <f t="shared" si="5"/>
        <v>60.23337489443733</v>
      </c>
      <c r="P11" s="10">
        <f t="shared" si="6"/>
        <v>1.1430827146167672</v>
      </c>
      <c r="Q11" s="10" t="str">
        <f t="shared" si="10"/>
        <v>no</v>
      </c>
      <c r="R11" s="10" t="str">
        <f t="shared" si="7"/>
        <v>no</v>
      </c>
      <c r="S11" s="10"/>
      <c r="T11" s="10"/>
      <c r="U11" s="10"/>
      <c r="V11" s="10"/>
      <c r="W11" s="10"/>
      <c r="X11" s="10"/>
      <c r="Z11" s="10">
        <f t="shared" si="13"/>
        <v>1.2</v>
      </c>
      <c r="AA11" s="10">
        <v>28.808048318575803</v>
      </c>
      <c r="AB11" s="10">
        <v>30.9</v>
      </c>
      <c r="AC11" s="10">
        <f t="shared" si="11"/>
        <v>2.091951681424195</v>
      </c>
      <c r="AD11" s="10">
        <v>26.83685492809012</v>
      </c>
      <c r="AE11" s="10">
        <v>34.2300000000002</v>
      </c>
      <c r="AF11" s="10">
        <f t="shared" si="12"/>
        <v>7.393145071910084</v>
      </c>
    </row>
    <row r="12" spans="1:32" ht="12.75">
      <c r="A12" s="10">
        <v>0.76</v>
      </c>
      <c r="B12" s="10">
        <f t="shared" si="8"/>
        <v>20</v>
      </c>
      <c r="C12" s="10">
        <f t="shared" si="0"/>
        <v>-17.273650721141614</v>
      </c>
      <c r="D12" s="10">
        <f>B12/Main!$B$28</f>
        <v>0.6666666666666666</v>
      </c>
      <c r="E12" s="10">
        <f>C12/Main!$B$28</f>
        <v>-0.5757883573713871</v>
      </c>
      <c r="F12" s="10">
        <f>MAX(0,B12-Main!$B$28)/Main!$B$28</f>
        <v>0</v>
      </c>
      <c r="G12" s="10">
        <f t="shared" si="1"/>
        <v>0</v>
      </c>
      <c r="H12">
        <f t="shared" si="2"/>
        <v>4.863265417008364</v>
      </c>
      <c r="I12">
        <f t="shared" si="3"/>
        <v>4.1366721980467345</v>
      </c>
      <c r="M12" s="10">
        <f t="shared" si="9"/>
        <v>30.959999999999997</v>
      </c>
      <c r="N12">
        <f t="shared" si="4"/>
        <v>59.25316291506702</v>
      </c>
      <c r="O12">
        <f t="shared" si="5"/>
        <v>60.381984450340326</v>
      </c>
      <c r="P12" s="10">
        <f t="shared" si="6"/>
        <v>1.1288215352733033</v>
      </c>
      <c r="Q12" s="10" t="str">
        <f t="shared" si="10"/>
        <v>no</v>
      </c>
      <c r="R12" s="10" t="str">
        <f t="shared" si="7"/>
        <v>no</v>
      </c>
      <c r="S12" s="10"/>
      <c r="T12" s="10"/>
      <c r="U12" s="10"/>
      <c r="V12" s="10"/>
      <c r="W12" s="10"/>
      <c r="X12" s="10"/>
      <c r="Z12" s="10">
        <f t="shared" si="13"/>
        <v>1.4</v>
      </c>
      <c r="AA12" s="10">
        <v>28.247006834080096</v>
      </c>
      <c r="AB12" s="10">
        <v>30.28</v>
      </c>
      <c r="AC12" s="10">
        <f t="shared" si="11"/>
        <v>2.0329931659199048</v>
      </c>
      <c r="AD12" s="10">
        <v>26.086062159431368</v>
      </c>
      <c r="AE12" s="10">
        <v>33.57</v>
      </c>
      <c r="AF12" s="10">
        <f t="shared" si="12"/>
        <v>7.4839378405686325</v>
      </c>
    </row>
    <row r="13" spans="1:32" ht="12.75">
      <c r="A13" s="10">
        <v>0.78</v>
      </c>
      <c r="B13" s="10">
        <f t="shared" si="8"/>
        <v>20.5</v>
      </c>
      <c r="C13" s="10">
        <f t="shared" si="0"/>
        <v>-15.105437880853321</v>
      </c>
      <c r="D13" s="10">
        <f>B13/Main!$B$28</f>
        <v>0.6833333333333333</v>
      </c>
      <c r="E13" s="10">
        <f>C13/Main!$B$28</f>
        <v>-0.5035145960284441</v>
      </c>
      <c r="F13" s="10">
        <f>MAX(0,B13-Main!$B$28)/Main!$B$28</f>
        <v>0</v>
      </c>
      <c r="G13" s="10">
        <f t="shared" si="1"/>
        <v>0</v>
      </c>
      <c r="H13">
        <f t="shared" si="2"/>
        <v>5.925702979098784</v>
      </c>
      <c r="I13">
        <f t="shared" si="3"/>
        <v>5.124098503510006</v>
      </c>
      <c r="M13" s="10">
        <f t="shared" si="9"/>
        <v>30.979999999999997</v>
      </c>
      <c r="N13">
        <f t="shared" si="4"/>
        <v>59.41603365031352</v>
      </c>
      <c r="O13">
        <f t="shared" si="5"/>
        <v>60.53067049181013</v>
      </c>
      <c r="P13" s="10">
        <f t="shared" si="6"/>
        <v>1.1146368414966048</v>
      </c>
      <c r="Q13" s="10" t="str">
        <f t="shared" si="10"/>
        <v>no</v>
      </c>
      <c r="R13" s="10" t="str">
        <f t="shared" si="7"/>
        <v>no</v>
      </c>
      <c r="S13" s="10"/>
      <c r="T13" s="10"/>
      <c r="U13" s="10"/>
      <c r="V13" s="10"/>
      <c r="W13" s="10"/>
      <c r="X13" s="10"/>
      <c r="Z13" s="10">
        <f>Z12+time_step</f>
        <v>1.5999999999999999</v>
      </c>
      <c r="AA13" s="10">
        <v>27.53642031978062</v>
      </c>
      <c r="AB13" s="10">
        <v>29.52</v>
      </c>
      <c r="AC13" s="10">
        <f t="shared" si="11"/>
        <v>1.9835796802193784</v>
      </c>
      <c r="AD13" s="10">
        <v>25.26596317362733</v>
      </c>
      <c r="AE13" s="10">
        <v>32.729999999999905</v>
      </c>
      <c r="AF13" s="10">
        <f t="shared" si="12"/>
        <v>7.464036826372574</v>
      </c>
    </row>
    <row r="14" spans="1:32" ht="12.75">
      <c r="A14" s="10">
        <v>0.8</v>
      </c>
      <c r="B14" s="10">
        <f t="shared" si="8"/>
        <v>21</v>
      </c>
      <c r="C14" s="10">
        <f t="shared" si="0"/>
        <v>-12.754056968996167</v>
      </c>
      <c r="D14" s="10">
        <f>B14/Main!$B$28</f>
        <v>0.7</v>
      </c>
      <c r="E14" s="10">
        <f>C14/Main!$B$28</f>
        <v>-0.4251352322998722</v>
      </c>
      <c r="F14" s="10">
        <f>MAX(0,B14-Main!$B$28)/Main!$B$28</f>
        <v>0</v>
      </c>
      <c r="G14" s="10">
        <f t="shared" si="1"/>
        <v>0</v>
      </c>
      <c r="H14">
        <f t="shared" si="2"/>
        <v>7.131685546565175</v>
      </c>
      <c r="I14">
        <f t="shared" si="3"/>
        <v>6.259768117084868</v>
      </c>
      <c r="M14" s="10">
        <f t="shared" si="9"/>
        <v>30.999999999999996</v>
      </c>
      <c r="N14">
        <f t="shared" si="4"/>
        <v>59.578904385559966</v>
      </c>
      <c r="O14">
        <f t="shared" si="5"/>
        <v>60.67943280767494</v>
      </c>
      <c r="P14" s="10">
        <f t="shared" si="6"/>
        <v>1.1005284221149765</v>
      </c>
      <c r="Q14" s="10" t="str">
        <f t="shared" si="10"/>
        <v>no</v>
      </c>
      <c r="R14" s="10" t="str">
        <f t="shared" si="7"/>
        <v>no</v>
      </c>
      <c r="S14" s="10"/>
      <c r="T14" s="10"/>
      <c r="U14" s="10"/>
      <c r="V14" s="10"/>
      <c r="W14" s="10"/>
      <c r="X14" s="10"/>
      <c r="Z14" s="10">
        <f t="shared" si="13"/>
        <v>1.7999999999999998</v>
      </c>
      <c r="AA14" s="10">
        <v>26.531236520035907</v>
      </c>
      <c r="AB14" s="10">
        <v>28.44</v>
      </c>
      <c r="AC14" s="10">
        <f t="shared" si="11"/>
        <v>1.9087634799640938</v>
      </c>
      <c r="AD14" s="10">
        <v>24.474046498560725</v>
      </c>
      <c r="AE14" s="10">
        <v>31.529999999999795</v>
      </c>
      <c r="AF14" s="10">
        <f t="shared" si="12"/>
        <v>7.05595350143907</v>
      </c>
    </row>
    <row r="15" spans="1:32" ht="12.75">
      <c r="A15" s="10">
        <v>0.82</v>
      </c>
      <c r="B15" s="10">
        <f t="shared" si="8"/>
        <v>21.5</v>
      </c>
      <c r="C15" s="10">
        <f t="shared" si="0"/>
        <v>-10.226419374201939</v>
      </c>
      <c r="D15" s="10">
        <f>B15/Main!$B$28</f>
        <v>0.7166666666666667</v>
      </c>
      <c r="E15" s="10">
        <f>C15/Main!$B$28</f>
        <v>-0.3408806458067313</v>
      </c>
      <c r="F15" s="10">
        <f>MAX(0,B15-Main!$B$28)/Main!$B$28</f>
        <v>0</v>
      </c>
      <c r="G15" s="10">
        <f t="shared" si="1"/>
        <v>0</v>
      </c>
      <c r="H15">
        <f t="shared" si="2"/>
        <v>8.485929219629678</v>
      </c>
      <c r="I15">
        <f t="shared" si="3"/>
        <v>7.549859042191349</v>
      </c>
      <c r="M15" s="10">
        <f t="shared" si="9"/>
        <v>31.019999999999996</v>
      </c>
      <c r="N15">
        <f t="shared" si="4"/>
        <v>59.741775120806466</v>
      </c>
      <c r="O15">
        <f t="shared" si="5"/>
        <v>60.82827118702792</v>
      </c>
      <c r="P15" s="10">
        <f t="shared" si="6"/>
        <v>1.0864960662214571</v>
      </c>
      <c r="Q15" s="10" t="str">
        <f t="shared" si="10"/>
        <v>no</v>
      </c>
      <c r="R15" s="10" t="str">
        <f t="shared" si="7"/>
        <v>no</v>
      </c>
      <c r="S15" s="10"/>
      <c r="T15" s="10"/>
      <c r="U15" s="10"/>
      <c r="V15" s="10"/>
      <c r="W15" s="10"/>
      <c r="X15" s="10"/>
      <c r="Z15" s="10">
        <v>1.9</v>
      </c>
      <c r="AA15" s="10">
        <v>25.762129338402055</v>
      </c>
      <c r="AB15" s="10">
        <v>27.62</v>
      </c>
      <c r="AC15" s="10">
        <f t="shared" si="11"/>
        <v>1.8578706615979463</v>
      </c>
      <c r="AD15" s="10">
        <v>24.157838775501016</v>
      </c>
      <c r="AE15" s="10">
        <v>30.609999999999815</v>
      </c>
      <c r="AF15" s="10">
        <f t="shared" si="12"/>
        <v>6.4521612244987985</v>
      </c>
    </row>
    <row r="16" spans="1:32" ht="12.75">
      <c r="A16" s="10">
        <v>0.84</v>
      </c>
      <c r="B16" s="10">
        <f t="shared" si="8"/>
        <v>22</v>
      </c>
      <c r="C16" s="10">
        <f t="shared" si="0"/>
        <v>-7.530770158796688</v>
      </c>
      <c r="D16" s="10">
        <f>B16/Main!$B$28</f>
        <v>0.7333333333333333</v>
      </c>
      <c r="E16" s="10">
        <f>C16/Main!$B$28</f>
        <v>-0.2510256719598896</v>
      </c>
      <c r="F16" s="10">
        <f>MAX(0,B16-Main!$B$28)/Main!$B$28</f>
        <v>0</v>
      </c>
      <c r="G16" s="10">
        <f t="shared" si="1"/>
        <v>0</v>
      </c>
      <c r="H16">
        <f t="shared" si="2"/>
        <v>9.991652668345871</v>
      </c>
      <c r="I16">
        <f t="shared" si="3"/>
        <v>8.998827724036637</v>
      </c>
      <c r="M16" s="10">
        <f t="shared" si="9"/>
        <v>31.039999999999996</v>
      </c>
      <c r="N16">
        <f t="shared" si="4"/>
        <v>59.904645856052866</v>
      </c>
      <c r="O16">
        <f t="shared" si="5"/>
        <v>60.97718541923025</v>
      </c>
      <c r="P16" s="10">
        <f t="shared" si="6"/>
        <v>1.0725395631773864</v>
      </c>
      <c r="Q16" s="10" t="str">
        <f t="shared" si="10"/>
        <v>no</v>
      </c>
      <c r="R16" s="10" t="str">
        <f t="shared" si="7"/>
        <v>no</v>
      </c>
      <c r="S16" s="10"/>
      <c r="T16" s="10"/>
      <c r="Z16" s="10">
        <v>1.95</v>
      </c>
      <c r="AA16" s="10">
        <v>25.187072381825974</v>
      </c>
      <c r="AB16" s="10">
        <v>27</v>
      </c>
      <c r="AC16" s="10">
        <f t="shared" si="11"/>
        <v>1.812927618174026</v>
      </c>
      <c r="AD16" s="10">
        <v>24.05299532243166</v>
      </c>
      <c r="AE16" s="10">
        <v>29.92999999999983</v>
      </c>
      <c r="AF16" s="10">
        <f t="shared" si="12"/>
        <v>5.87700467756817</v>
      </c>
    </row>
    <row r="17" spans="1:32" ht="12.75">
      <c r="A17" s="10">
        <v>0.86</v>
      </c>
      <c r="B17" s="10">
        <f t="shared" si="8"/>
        <v>22.5</v>
      </c>
      <c r="C17" s="10">
        <f t="shared" si="0"/>
        <v>-4.676271827955045</v>
      </c>
      <c r="D17" s="10">
        <f>B17/Main!$B$28</f>
        <v>0.75</v>
      </c>
      <c r="E17" s="10">
        <f>C17/Main!$B$28</f>
        <v>-0.1558757275985015</v>
      </c>
      <c r="F17" s="10">
        <f>MAX(0,B17-Main!$B$28)/Main!$B$28</f>
        <v>0</v>
      </c>
      <c r="G17" s="10">
        <f t="shared" si="1"/>
        <v>0</v>
      </c>
      <c r="H17">
        <f t="shared" si="2"/>
        <v>11.650691890482841</v>
      </c>
      <c r="I17">
        <f t="shared" si="3"/>
        <v>10.609411152993625</v>
      </c>
      <c r="M17" s="10">
        <f t="shared" si="9"/>
        <v>31.059999999999995</v>
      </c>
      <c r="N17">
        <f t="shared" si="4"/>
        <v>60.067516591299366</v>
      </c>
      <c r="O17">
        <f t="shared" si="5"/>
        <v>61.12617529391341</v>
      </c>
      <c r="P17" s="10">
        <f t="shared" si="6"/>
        <v>1.0586587026140464</v>
      </c>
      <c r="Q17" s="10" t="str">
        <f t="shared" si="10"/>
        <v>no</v>
      </c>
      <c r="R17" s="10" t="str">
        <f t="shared" si="7"/>
        <v>no</v>
      </c>
      <c r="Z17" s="10">
        <v>1.99</v>
      </c>
      <c r="AA17" s="10">
        <v>24.37694960964284</v>
      </c>
      <c r="AB17" s="10">
        <v>26.139999999999674</v>
      </c>
      <c r="AC17" s="10">
        <f t="shared" si="11"/>
        <v>1.7630503903568346</v>
      </c>
      <c r="AD17" s="10">
        <v>24.024964724099192</v>
      </c>
      <c r="AE17" s="10">
        <v>28.96999999999985</v>
      </c>
      <c r="AF17" s="10">
        <f t="shared" si="12"/>
        <v>4.945035275900658</v>
      </c>
    </row>
    <row r="18" spans="1:32" ht="12.75">
      <c r="A18" s="10">
        <v>0.88</v>
      </c>
      <c r="B18" s="10">
        <f t="shared" si="8"/>
        <v>23</v>
      </c>
      <c r="C18" s="10">
        <f>-Inv+((FC0/100)*BjStAmericanCall(q_*B_*B18*(EXP(-(delta/100)*2)),Idp,years+(months/12),r_/100,delta/100,sigma/100))</f>
        <v>-1.6727012825269618</v>
      </c>
      <c r="D18" s="10">
        <f>B18/Main!$B$28</f>
        <v>0.7666666666666667</v>
      </c>
      <c r="E18" s="10">
        <f>C18/Main!$B$28</f>
        <v>-0.055756709417565394</v>
      </c>
      <c r="F18" s="10">
        <f>MAX(0,B18-Main!$B$28)/Main!$B$28</f>
        <v>0</v>
      </c>
      <c r="G18" s="10">
        <f t="shared" si="1"/>
        <v>0</v>
      </c>
      <c r="H18">
        <f t="shared" si="2"/>
        <v>13.463527346970256</v>
      </c>
      <c r="I18">
        <f t="shared" si="3"/>
        <v>12.382692296162016</v>
      </c>
      <c r="M18" s="10">
        <f t="shared" si="9"/>
        <v>31.079999999999995</v>
      </c>
      <c r="N18">
        <f t="shared" si="4"/>
        <v>60.230387326545824</v>
      </c>
      <c r="O18">
        <f t="shared" si="5"/>
        <v>61.27524060098257</v>
      </c>
      <c r="P18" s="10">
        <f t="shared" si="6"/>
        <v>1.044853274436747</v>
      </c>
      <c r="Q18" s="10" t="str">
        <f t="shared" si="10"/>
        <v>no</v>
      </c>
      <c r="R18" s="10" t="str">
        <f t="shared" si="7"/>
        <v>no</v>
      </c>
      <c r="Z18" s="10">
        <v>1.999</v>
      </c>
      <c r="AA18" s="10">
        <v>23.906821325177038</v>
      </c>
      <c r="AB18" s="10">
        <v>25.63999999999966</v>
      </c>
      <c r="AC18" s="10">
        <f t="shared" si="11"/>
        <v>1.7331786748226214</v>
      </c>
      <c r="AD18" s="10">
        <v>24.024948957769382</v>
      </c>
      <c r="AE18" s="10">
        <v>28.40999999999986</v>
      </c>
      <c r="AF18" s="10">
        <f t="shared" si="12"/>
        <v>4.385051042230479</v>
      </c>
    </row>
    <row r="19" spans="1:32" ht="12.75">
      <c r="A19" s="10">
        <v>0.9</v>
      </c>
      <c r="B19" s="10">
        <f t="shared" si="8"/>
        <v>23.5</v>
      </c>
      <c r="C19" s="10">
        <f>-Inv+((FC0/100)*BjStAmericanCall(q_*B_*B19*(EXP(-(delta/100)*2)),Idp,years+(months/12),r_/100,delta/100,sigma/100))</f>
        <v>1.469830769430871</v>
      </c>
      <c r="D19" s="10">
        <f>B19/Main!$B$28</f>
        <v>0.7833333333333333</v>
      </c>
      <c r="E19" s="10">
        <f>C19/Main!$B$28</f>
        <v>0.04899435898102903</v>
      </c>
      <c r="F19" s="10">
        <f>MAX(0,B19-Main!$B$28)/Main!$B$28</f>
        <v>0</v>
      </c>
      <c r="G19" s="10">
        <f t="shared" si="1"/>
        <v>1.469830769430871</v>
      </c>
      <c r="H19">
        <f t="shared" si="2"/>
        <v>15.429317167079322</v>
      </c>
      <c r="I19">
        <f t="shared" si="3"/>
        <v>14.318168589547652</v>
      </c>
      <c r="M19" s="10">
        <f t="shared" si="9"/>
        <v>31.099999999999994</v>
      </c>
      <c r="N19">
        <f t="shared" si="4"/>
        <v>60.393258061792324</v>
      </c>
      <c r="O19">
        <f t="shared" si="5"/>
        <v>61.424381130618414</v>
      </c>
      <c r="P19" s="10">
        <f t="shared" si="6"/>
        <v>1.0311230688260906</v>
      </c>
      <c r="Q19" s="10" t="str">
        <f t="shared" si="10"/>
        <v>no</v>
      </c>
      <c r="R19" s="10" t="str">
        <f t="shared" si="7"/>
        <v>no</v>
      </c>
      <c r="Z19" s="10">
        <v>2</v>
      </c>
      <c r="AA19" s="10">
        <v>23.683903060252156</v>
      </c>
      <c r="AB19" s="10">
        <v>25.39999999999994</v>
      </c>
      <c r="AC19" s="10">
        <f t="shared" si="11"/>
        <v>1.7160969397477857</v>
      </c>
      <c r="AD19" s="10">
        <v>24.024948957769382</v>
      </c>
      <c r="AE19" s="10">
        <v>28.14999999999987</v>
      </c>
      <c r="AF19" s="10">
        <f t="shared" si="12"/>
        <v>4.1250510422304885</v>
      </c>
    </row>
    <row r="20" spans="1:29" ht="12.75">
      <c r="A20" s="10">
        <v>0.92</v>
      </c>
      <c r="B20" s="10">
        <f t="shared" si="8"/>
        <v>24</v>
      </c>
      <c r="C20" s="10">
        <f aca="true" t="shared" si="14" ref="C20:C74">-Inv+((FC0/100)*BjStAmericanCall(q_*B_*B20*(EXP(-(delta/100)*2)),Idp,years+(months/12),r_/100,delta/100,sigma/100))</f>
        <v>4.74111850246134</v>
      </c>
      <c r="D20" s="10">
        <f>B20/Main!$B$28</f>
        <v>0.8</v>
      </c>
      <c r="E20" s="10">
        <f>C20/Main!$B$28</f>
        <v>0.158037283415378</v>
      </c>
      <c r="F20" s="10">
        <f>MAX(0,B20-Main!$B$28)/Main!$B$28</f>
        <v>0</v>
      </c>
      <c r="G20" s="10">
        <f t="shared" si="1"/>
        <v>4.74111850246134</v>
      </c>
      <c r="H20">
        <f t="shared" si="2"/>
        <v>17.546071347773363</v>
      </c>
      <c r="I20">
        <f t="shared" si="3"/>
        <v>16.41380465567599</v>
      </c>
      <c r="M20" s="10">
        <f t="shared" si="9"/>
        <v>31.119999999999994</v>
      </c>
      <c r="N20">
        <f t="shared" si="4"/>
        <v>60.55612879703877</v>
      </c>
      <c r="O20">
        <f t="shared" si="5"/>
        <v>61.57359667328038</v>
      </c>
      <c r="P20" s="10">
        <f t="shared" si="6"/>
        <v>1.0174678762416107</v>
      </c>
      <c r="Q20" s="10" t="str">
        <f t="shared" si="10"/>
        <v>no</v>
      </c>
      <c r="R20" s="10" t="str">
        <f t="shared" si="7"/>
        <v>no</v>
      </c>
      <c r="Z20" s="10"/>
      <c r="AA20" s="10"/>
      <c r="AB20" s="10"/>
      <c r="AC20" s="10"/>
    </row>
    <row r="21" spans="1:26" ht="12.75">
      <c r="A21" s="10">
        <v>0.94</v>
      </c>
      <c r="B21" s="10">
        <f t="shared" si="8"/>
        <v>24.5</v>
      </c>
      <c r="C21" s="10">
        <f t="shared" si="14"/>
        <v>8.131050021713065</v>
      </c>
      <c r="D21" s="10">
        <f>B21/Main!$B$28</f>
        <v>0.8166666666666667</v>
      </c>
      <c r="E21" s="10">
        <f>C21/Main!$B$28</f>
        <v>0.27103500072376885</v>
      </c>
      <c r="F21" s="10">
        <f>MAX(0,B21-Main!$B$28)/Main!$B$28</f>
        <v>0</v>
      </c>
      <c r="G21" s="10">
        <f t="shared" si="1"/>
        <v>8.131050021713065</v>
      </c>
      <c r="H21">
        <f t="shared" si="2"/>
        <v>19.810781268824925</v>
      </c>
      <c r="I21">
        <f t="shared" si="3"/>
        <v>18.66637465959171</v>
      </c>
      <c r="M21" s="10">
        <f t="shared" si="9"/>
        <v>31.139999999999993</v>
      </c>
      <c r="N21">
        <f t="shared" si="4"/>
        <v>60.71899953228527</v>
      </c>
      <c r="O21">
        <f t="shared" si="5"/>
        <v>61.72288701970892</v>
      </c>
      <c r="P21" s="10">
        <f t="shared" si="6"/>
        <v>1.003887487423654</v>
      </c>
      <c r="Q21" s="10" t="str">
        <f t="shared" si="10"/>
        <v>no</v>
      </c>
      <c r="R21" s="10" t="str">
        <f t="shared" si="7"/>
        <v>no</v>
      </c>
      <c r="S21" s="82"/>
      <c r="U21" s="82"/>
      <c r="Z21" s="10"/>
    </row>
    <row r="22" spans="1:26" ht="12.75">
      <c r="A22" s="10">
        <v>0.96</v>
      </c>
      <c r="B22" s="10">
        <f t="shared" si="8"/>
        <v>25</v>
      </c>
      <c r="C22" s="10">
        <f t="shared" si="14"/>
        <v>11.629812754488817</v>
      </c>
      <c r="D22" s="10">
        <f>B22/Main!$B$28</f>
        <v>0.8333333333333334</v>
      </c>
      <c r="E22" s="10">
        <f>C22/Main!$B$28</f>
        <v>0.38766042514962723</v>
      </c>
      <c r="F22" s="10">
        <f>MAX(0,B22-Main!$B$28)/Main!$B$28</f>
        <v>0</v>
      </c>
      <c r="G22" s="10">
        <f t="shared" si="1"/>
        <v>11.629812754488817</v>
      </c>
      <c r="H22">
        <f t="shared" si="2"/>
        <v>22.219556530624274</v>
      </c>
      <c r="I22">
        <f t="shared" si="3"/>
        <v>21.071616777065483</v>
      </c>
      <c r="M22" s="10">
        <f t="shared" si="9"/>
        <v>31.159999999999993</v>
      </c>
      <c r="N22">
        <f t="shared" si="4"/>
        <v>60.881870267531724</v>
      </c>
      <c r="O22">
        <f t="shared" si="5"/>
        <v>61.87225196092827</v>
      </c>
      <c r="P22" s="10">
        <f t="shared" si="6"/>
        <v>0.990381693396543</v>
      </c>
      <c r="Q22" s="10" t="str">
        <f t="shared" si="10"/>
        <v>no</v>
      </c>
      <c r="R22" s="10" t="str">
        <f t="shared" si="7"/>
        <v>no</v>
      </c>
      <c r="Z22" s="10"/>
    </row>
    <row r="23" spans="1:26" ht="12.75">
      <c r="A23" s="10">
        <v>0.98</v>
      </c>
      <c r="B23" s="10">
        <f t="shared" si="8"/>
        <v>25.5</v>
      </c>
      <c r="C23" s="10">
        <f t="shared" si="14"/>
        <v>15.228001162305937</v>
      </c>
      <c r="D23" s="10">
        <f>B23/Main!$B$28</f>
        <v>0.85</v>
      </c>
      <c r="E23" s="10">
        <f>C23/Main!$B$28</f>
        <v>0.5076000387435312</v>
      </c>
      <c r="F23" s="10">
        <f>MAX(0,B23-Main!$B$28)/Main!$B$28</f>
        <v>0</v>
      </c>
      <c r="G23" s="10">
        <f t="shared" si="1"/>
        <v>15.228001162305937</v>
      </c>
      <c r="H23">
        <f t="shared" si="2"/>
        <v>24.767701513491183</v>
      </c>
      <c r="I23">
        <f t="shared" si="3"/>
        <v>23.624252701529215</v>
      </c>
      <c r="M23" s="10">
        <f t="shared" si="9"/>
        <v>31.179999999999993</v>
      </c>
      <c r="N23">
        <f t="shared" si="4"/>
        <v>61.04474100277821</v>
      </c>
      <c r="O23">
        <f t="shared" si="5"/>
        <v>62.02169128824873</v>
      </c>
      <c r="P23" s="10">
        <f t="shared" si="6"/>
        <v>0.9769502854705223</v>
      </c>
      <c r="Q23" s="10" t="str">
        <f t="shared" si="10"/>
        <v>no</v>
      </c>
      <c r="R23" s="10" t="str">
        <f t="shared" si="7"/>
        <v>no</v>
      </c>
      <c r="Z23" s="10"/>
    </row>
    <row r="24" spans="1:26" ht="12.75">
      <c r="A24" s="10">
        <v>1</v>
      </c>
      <c r="B24" s="10">
        <f t="shared" si="8"/>
        <v>26</v>
      </c>
      <c r="C24" s="10">
        <f t="shared" si="14"/>
        <v>18.916741629637897</v>
      </c>
      <c r="D24" s="10">
        <f>B24/Main!$B$28</f>
        <v>0.8666666666666667</v>
      </c>
      <c r="E24" s="10">
        <f>C24/Main!$B$28</f>
        <v>0.6305580543212632</v>
      </c>
      <c r="F24" s="10">
        <f>MAX(0,B24-Main!$B$28)/Main!$B$28</f>
        <v>0</v>
      </c>
      <c r="G24" s="10">
        <f t="shared" si="1"/>
        <v>18.916741629637897</v>
      </c>
      <c r="H24">
        <f t="shared" si="2"/>
        <v>27.44993819644424</v>
      </c>
      <c r="I24">
        <f t="shared" si="3"/>
        <v>26.31828625149179</v>
      </c>
      <c r="M24" s="10">
        <f t="shared" si="9"/>
        <v>31.199999999999992</v>
      </c>
      <c r="N24">
        <f t="shared" si="4"/>
        <v>61.207611738024625</v>
      </c>
      <c r="O24">
        <f t="shared" si="5"/>
        <v>62.171204793269624</v>
      </c>
      <c r="P24" s="10">
        <f t="shared" si="6"/>
        <v>0.9635930552449992</v>
      </c>
      <c r="Q24" s="10" t="str">
        <f t="shared" si="10"/>
        <v>no</v>
      </c>
      <c r="R24" s="10" t="str">
        <f t="shared" si="7"/>
        <v>no</v>
      </c>
      <c r="Z24" s="10"/>
    </row>
    <row r="25" spans="1:18" ht="12.75">
      <c r="A25" s="10">
        <v>1.02</v>
      </c>
      <c r="B25" s="10">
        <f t="shared" si="8"/>
        <v>26.5</v>
      </c>
      <c r="C25" s="10">
        <f t="shared" si="14"/>
        <v>22.93298895510361</v>
      </c>
      <c r="D25" s="10">
        <f>B25/Main!$B$28</f>
        <v>0.8833333333333333</v>
      </c>
      <c r="E25" s="10">
        <f>C25/Main!$B$28</f>
        <v>0.7644329651701204</v>
      </c>
      <c r="F25" s="10">
        <f>MAX(0,B25-Main!$B$28)/Main!$B$28</f>
        <v>0</v>
      </c>
      <c r="G25" s="10">
        <f t="shared" si="1"/>
        <v>22.93298895510361</v>
      </c>
      <c r="H25">
        <f t="shared" si="2"/>
        <v>30.260551123441697</v>
      </c>
      <c r="I25">
        <f t="shared" si="3"/>
        <v>29.147181549811034</v>
      </c>
      <c r="M25" s="10">
        <f t="shared" si="9"/>
        <v>31.21999999999999</v>
      </c>
      <c r="N25">
        <f t="shared" si="4"/>
        <v>61.370482473271124</v>
      </c>
      <c r="O25">
        <f t="shared" si="5"/>
        <v>62.32079226788136</v>
      </c>
      <c r="P25" s="10">
        <f t="shared" si="6"/>
        <v>0.9503097946102343</v>
      </c>
      <c r="Q25" s="10" t="str">
        <f t="shared" si="10"/>
        <v>no</v>
      </c>
      <c r="R25" s="10" t="str">
        <f t="shared" si="7"/>
        <v>no</v>
      </c>
    </row>
    <row r="26" spans="1:18" ht="12.75">
      <c r="A26" s="10">
        <v>1.04</v>
      </c>
      <c r="B26" s="10">
        <f t="shared" si="8"/>
        <v>27</v>
      </c>
      <c r="C26" s="10">
        <f t="shared" si="14"/>
        <v>27.00475733626545</v>
      </c>
      <c r="D26" s="10">
        <f>B26/Main!$B$28</f>
        <v>0.9</v>
      </c>
      <c r="E26" s="10">
        <f>C26/Main!$B$28</f>
        <v>0.900158577875515</v>
      </c>
      <c r="F26" s="10">
        <f>MAX(0,B26-Main!$B$28)/Main!$B$28</f>
        <v>0</v>
      </c>
      <c r="G26" s="10">
        <f t="shared" si="1"/>
        <v>27.00475733626545</v>
      </c>
      <c r="H26">
        <f t="shared" si="2"/>
        <v>33.19347173116522</v>
      </c>
      <c r="I26">
        <f t="shared" si="3"/>
        <v>32.10401770420483</v>
      </c>
      <c r="M26" s="10">
        <f t="shared" si="9"/>
        <v>31.23999999999999</v>
      </c>
      <c r="N26">
        <f t="shared" si="4"/>
        <v>61.53335320851757</v>
      </c>
      <c r="O26">
        <f t="shared" si="5"/>
        <v>62.4704535042681</v>
      </c>
      <c r="P26" s="10">
        <f t="shared" si="6"/>
        <v>0.9371002957505326</v>
      </c>
      <c r="Q26" s="10" t="str">
        <f t="shared" si="10"/>
        <v>no</v>
      </c>
      <c r="R26" s="10" t="str">
        <f t="shared" si="7"/>
        <v>no</v>
      </c>
    </row>
    <row r="27" spans="1:18" ht="12.75">
      <c r="A27" s="10">
        <v>1.06</v>
      </c>
      <c r="B27" s="10">
        <f t="shared" si="8"/>
        <v>27.5</v>
      </c>
      <c r="C27" s="10">
        <f t="shared" si="14"/>
        <v>31.076525717427288</v>
      </c>
      <c r="D27" s="10">
        <f>B27/Main!$B$28</f>
        <v>0.9166666666666666</v>
      </c>
      <c r="E27" s="10">
        <f>C27/Main!$B$28</f>
        <v>1.0358841905809095</v>
      </c>
      <c r="F27" s="10">
        <f>MAX(0,B27-Main!$B$28)/Main!$B$28</f>
        <v>0</v>
      </c>
      <c r="G27" s="10">
        <f t="shared" si="1"/>
        <v>31.076525717427288</v>
      </c>
      <c r="H27">
        <f t="shared" si="2"/>
        <v>36.242382572498784</v>
      </c>
      <c r="I27">
        <f t="shared" si="3"/>
        <v>35.18163405923487</v>
      </c>
      <c r="M27" s="10">
        <f t="shared" si="9"/>
        <v>31.25999999999999</v>
      </c>
      <c r="N27">
        <f t="shared" si="4"/>
        <v>61.69622394376407</v>
      </c>
      <c r="O27">
        <f t="shared" si="5"/>
        <v>62.62018829491027</v>
      </c>
      <c r="P27" s="10">
        <f t="shared" si="6"/>
        <v>0.9239643511462035</v>
      </c>
      <c r="Q27" s="10" t="str">
        <f t="shared" si="10"/>
        <v>no</v>
      </c>
      <c r="R27" s="10" t="str">
        <f t="shared" si="7"/>
        <v>no</v>
      </c>
    </row>
    <row r="28" spans="1:18" ht="12.75">
      <c r="A28" s="10">
        <v>1.08</v>
      </c>
      <c r="B28" s="10">
        <f t="shared" si="8"/>
        <v>28</v>
      </c>
      <c r="C28" s="10">
        <f t="shared" si="14"/>
        <v>35.148294098589076</v>
      </c>
      <c r="D28" s="10">
        <f>B28/Main!$B$28</f>
        <v>0.9333333333333333</v>
      </c>
      <c r="E28" s="10">
        <f>C28/Main!$B$28</f>
        <v>1.1716098032863025</v>
      </c>
      <c r="F28" s="10">
        <f>MAX(0,B28-Main!$B$28)/Main!$B$28</f>
        <v>0</v>
      </c>
      <c r="G28" s="10">
        <f t="shared" si="1"/>
        <v>35.148294098589076</v>
      </c>
      <c r="H28">
        <f t="shared" si="2"/>
        <v>39.400870070731315</v>
      </c>
      <c r="I28">
        <f t="shared" si="3"/>
        <v>38.372762626213245</v>
      </c>
      <c r="M28" s="10">
        <f t="shared" si="9"/>
        <v>31.27999999999999</v>
      </c>
      <c r="N28">
        <f t="shared" si="4"/>
        <v>61.85909467901057</v>
      </c>
      <c r="O28">
        <f t="shared" si="5"/>
        <v>62.769996432586936</v>
      </c>
      <c r="P28" s="10">
        <f t="shared" si="6"/>
        <v>0.9109017535763684</v>
      </c>
      <c r="Q28" s="10" t="str">
        <f t="shared" si="10"/>
        <v>no</v>
      </c>
      <c r="R28" s="10" t="str">
        <f t="shared" si="7"/>
        <v>no</v>
      </c>
    </row>
    <row r="29" spans="1:18" ht="12.75">
      <c r="A29" s="10">
        <v>1.1</v>
      </c>
      <c r="B29" s="10">
        <f t="shared" si="8"/>
        <v>28.5</v>
      </c>
      <c r="C29" s="10">
        <f t="shared" si="14"/>
        <v>39.22006247975092</v>
      </c>
      <c r="D29" s="10">
        <f>B29/Main!$B$28</f>
        <v>0.95</v>
      </c>
      <c r="E29" s="10">
        <f>C29/Main!$B$28</f>
        <v>1.3073354159916974</v>
      </c>
      <c r="F29" s="10">
        <f>MAX(0,B29-Main!$B$28)/Main!$B$28</f>
        <v>0</v>
      </c>
      <c r="G29" s="10">
        <f t="shared" si="1"/>
        <v>39.22006247975092</v>
      </c>
      <c r="H29">
        <f t="shared" si="2"/>
        <v>42.7442673400121</v>
      </c>
      <c r="I29">
        <f t="shared" si="3"/>
        <v>41.670127095204506</v>
      </c>
      <c r="M29" s="10">
        <f t="shared" si="9"/>
        <v>31.29999999999999</v>
      </c>
      <c r="N29">
        <f t="shared" si="4"/>
        <v>62.02196541425701</v>
      </c>
      <c r="O29">
        <f t="shared" si="5"/>
        <v>62.91987771037816</v>
      </c>
      <c r="P29" s="10">
        <f t="shared" si="6"/>
        <v>0.8979122961211488</v>
      </c>
      <c r="Q29" s="10" t="str">
        <f t="shared" si="10"/>
        <v>no</v>
      </c>
      <c r="R29" s="10" t="str">
        <f t="shared" si="7"/>
        <v>no</v>
      </c>
    </row>
    <row r="30" spans="1:18" ht="12.75">
      <c r="A30" s="10">
        <v>1.12</v>
      </c>
      <c r="B30" s="10">
        <f t="shared" si="8"/>
        <v>29</v>
      </c>
      <c r="C30" s="10">
        <f t="shared" si="14"/>
        <v>43.29183086091271</v>
      </c>
      <c r="D30" s="10">
        <f>B30/Main!$B$28</f>
        <v>0.9666666666666667</v>
      </c>
      <c r="E30" s="10">
        <f>C30/Main!$B$28</f>
        <v>1.4430610286970904</v>
      </c>
      <c r="F30" s="10">
        <f>MAX(0,B30-Main!$B$28)/Main!$B$28</f>
        <v>0</v>
      </c>
      <c r="G30" s="10">
        <f t="shared" si="1"/>
        <v>43.29183086091271</v>
      </c>
      <c r="H30">
        <f t="shared" si="2"/>
        <v>46.21574353590023</v>
      </c>
      <c r="I30">
        <f t="shared" si="3"/>
        <v>45.066547499939</v>
      </c>
      <c r="M30" s="10">
        <f t="shared" si="9"/>
        <v>31.31999999999999</v>
      </c>
      <c r="N30">
        <f t="shared" si="4"/>
        <v>62.18483614950351</v>
      </c>
      <c r="O30">
        <f t="shared" si="5"/>
        <v>63.069831921667365</v>
      </c>
      <c r="P30" s="10">
        <f t="shared" si="6"/>
        <v>0.8849957721638546</v>
      </c>
      <c r="Q30" s="10" t="str">
        <f t="shared" si="10"/>
        <v>no</v>
      </c>
      <c r="R30" s="10" t="str">
        <f t="shared" si="7"/>
        <v>no</v>
      </c>
    </row>
    <row r="31" spans="1:18" ht="12.75">
      <c r="A31" s="10">
        <v>1.14</v>
      </c>
      <c r="B31" s="10">
        <f t="shared" si="8"/>
        <v>29.5</v>
      </c>
      <c r="C31" s="10">
        <f t="shared" si="14"/>
        <v>47.36359924207454</v>
      </c>
      <c r="D31" s="10">
        <f>B31/Main!$B$28</f>
        <v>0.9833333333333333</v>
      </c>
      <c r="E31" s="10">
        <f>C31/Main!$B$28</f>
        <v>1.5787866414024847</v>
      </c>
      <c r="F31" s="10">
        <f>MAX(0,B31-Main!$B$28)/Main!$B$28</f>
        <v>0</v>
      </c>
      <c r="G31" s="10">
        <f t="shared" si="1"/>
        <v>47.36359924207454</v>
      </c>
      <c r="H31">
        <f t="shared" si="2"/>
        <v>49.74845733448805</v>
      </c>
      <c r="I31">
        <f t="shared" si="3"/>
        <v>48.555038400997276</v>
      </c>
      <c r="M31" s="10">
        <f t="shared" si="9"/>
        <v>31.33999999999999</v>
      </c>
      <c r="N31">
        <f t="shared" si="4"/>
        <v>62.34770688474997</v>
      </c>
      <c r="O31">
        <f t="shared" si="5"/>
        <v>63.21985886014404</v>
      </c>
      <c r="P31" s="10">
        <f t="shared" si="6"/>
        <v>0.8721519753940754</v>
      </c>
      <c r="Q31" s="10" t="str">
        <f t="shared" si="10"/>
        <v>no</v>
      </c>
      <c r="R31" s="10" t="str">
        <f t="shared" si="7"/>
        <v>no</v>
      </c>
    </row>
    <row r="32" spans="1:18" ht="12.75">
      <c r="A32" s="10">
        <v>1.16</v>
      </c>
      <c r="B32" s="10">
        <f t="shared" si="8"/>
        <v>30</v>
      </c>
      <c r="C32" s="10">
        <f t="shared" si="14"/>
        <v>51.435367623236345</v>
      </c>
      <c r="D32" s="10">
        <f>B32/Main!$B$28</f>
        <v>1</v>
      </c>
      <c r="E32" s="10">
        <f>C32/Main!$B$28</f>
        <v>1.714512254107878</v>
      </c>
      <c r="F32" s="10">
        <f>MAX(0,B32-Main!$B$28)/Main!$B$28</f>
        <v>0</v>
      </c>
      <c r="G32" s="10">
        <f t="shared" si="1"/>
        <v>51.435367623236345</v>
      </c>
      <c r="H32">
        <f t="shared" si="2"/>
        <v>53.33894634978866</v>
      </c>
      <c r="I32">
        <f t="shared" si="3"/>
        <v>52.128857564987186</v>
      </c>
      <c r="M32" s="10">
        <f t="shared" si="9"/>
        <v>31.35999999999999</v>
      </c>
      <c r="N32">
        <f t="shared" si="4"/>
        <v>62.51057761999641</v>
      </c>
      <c r="O32">
        <f t="shared" si="5"/>
        <v>63.36995831980535</v>
      </c>
      <c r="P32" s="10">
        <f t="shared" si="6"/>
        <v>0.8593806998089377</v>
      </c>
      <c r="Q32" s="10" t="str">
        <f t="shared" si="10"/>
        <v>no</v>
      </c>
      <c r="R32" s="10" t="str">
        <f t="shared" si="7"/>
        <v>no</v>
      </c>
    </row>
    <row r="33" spans="1:18" ht="12.75">
      <c r="A33" s="10">
        <v>1.18</v>
      </c>
      <c r="B33" s="10">
        <f t="shared" si="8"/>
        <v>30.5</v>
      </c>
      <c r="C33" s="10">
        <f t="shared" si="14"/>
        <v>55.50713600439818</v>
      </c>
      <c r="D33" s="10">
        <f>B33/Main!$B$28</f>
        <v>1.0166666666666666</v>
      </c>
      <c r="E33" s="10">
        <f>C33/Main!$B$28</f>
        <v>1.8502378668132726</v>
      </c>
      <c r="F33" s="10">
        <f>MAX(0,B33-Main!$B$28)/Main!$B$28</f>
        <v>0.016666666666666666</v>
      </c>
      <c r="G33" s="10">
        <f t="shared" si="1"/>
        <v>55.50713600439818</v>
      </c>
      <c r="H33">
        <f t="shared" si="2"/>
        <v>56.98374609353091</v>
      </c>
      <c r="I33">
        <f t="shared" si="3"/>
        <v>55.781567091265785</v>
      </c>
      <c r="M33" s="10">
        <f t="shared" si="9"/>
        <v>31.37999999999999</v>
      </c>
      <c r="N33">
        <f t="shared" si="4"/>
        <v>62.67344835524287</v>
      </c>
      <c r="O33">
        <f t="shared" si="5"/>
        <v>63.52013009495926</v>
      </c>
      <c r="P33" s="10">
        <f t="shared" si="6"/>
        <v>0.846681739716395</v>
      </c>
      <c r="Q33" s="10" t="str">
        <f t="shared" si="10"/>
        <v>no</v>
      </c>
      <c r="R33" s="10" t="str">
        <f t="shared" si="7"/>
        <v>no</v>
      </c>
    </row>
    <row r="34" spans="1:18" ht="12.75">
      <c r="A34" s="10">
        <v>1.2</v>
      </c>
      <c r="B34" s="10">
        <f t="shared" si="8"/>
        <v>31</v>
      </c>
      <c r="C34" s="10">
        <f t="shared" si="14"/>
        <v>59.57890438556001</v>
      </c>
      <c r="D34" s="10">
        <f>B34/Main!$B$28</f>
        <v>1.0333333333333334</v>
      </c>
      <c r="E34" s="10">
        <f>C34/Main!$B$28</f>
        <v>1.985963479518667</v>
      </c>
      <c r="F34" s="10">
        <f>MAX(0,B34-Main!$B$28)/Main!$B$28</f>
        <v>0.03333333333333333</v>
      </c>
      <c r="G34" s="10">
        <f t="shared" si="1"/>
        <v>59.57890438556001</v>
      </c>
      <c r="H34">
        <f t="shared" si="2"/>
        <v>60.67943280767498</v>
      </c>
      <c r="I34">
        <f t="shared" si="3"/>
        <v>59.57890438555998</v>
      </c>
      <c r="M34" s="10">
        <f t="shared" si="9"/>
        <v>31.399999999999988</v>
      </c>
      <c r="N34">
        <f t="shared" si="4"/>
        <v>62.83631909048937</v>
      </c>
      <c r="O34">
        <f t="shared" si="5"/>
        <v>63.67037398022645</v>
      </c>
      <c r="P34" s="10">
        <f t="shared" si="6"/>
        <v>0.8340548897370823</v>
      </c>
      <c r="Q34" s="10" t="str">
        <f t="shared" si="10"/>
        <v>no</v>
      </c>
      <c r="R34" s="10" t="str">
        <f t="shared" si="7"/>
        <v>no</v>
      </c>
    </row>
    <row r="35" spans="1:18" ht="12.75">
      <c r="A35" s="10">
        <v>1.22</v>
      </c>
      <c r="B35" s="10">
        <f t="shared" si="8"/>
        <v>31.5</v>
      </c>
      <c r="C35" s="10">
        <f t="shared" si="14"/>
        <v>63.65067276672181</v>
      </c>
      <c r="D35" s="10">
        <f>B35/Main!$B$28</f>
        <v>1.05</v>
      </c>
      <c r="E35" s="10">
        <f>C35/Main!$B$28</f>
        <v>2.1216890922240603</v>
      </c>
      <c r="F35" s="10">
        <f>MAX(0,B35-Main!$B$28)/Main!$B$28</f>
        <v>0.05</v>
      </c>
      <c r="G35" s="10">
        <f t="shared" si="1"/>
        <v>63.65067276672181</v>
      </c>
      <c r="H35">
        <f t="shared" si="2"/>
        <v>64.42266789215667</v>
      </c>
      <c r="I35">
        <f t="shared" si="3"/>
        <v>63.65067276672178</v>
      </c>
      <c r="M35" s="10">
        <f t="shared" si="9"/>
        <v>31.419999999999987</v>
      </c>
      <c r="N35">
        <f t="shared" si="4"/>
        <v>62.99918982573581</v>
      </c>
      <c r="O35">
        <f t="shared" si="5"/>
        <v>63.820689770542316</v>
      </c>
      <c r="P35" s="10">
        <f t="shared" si="6"/>
        <v>0.8214999448065043</v>
      </c>
      <c r="Q35" s="10" t="str">
        <f t="shared" si="10"/>
        <v>no</v>
      </c>
      <c r="R35" s="10" t="str">
        <f t="shared" si="7"/>
        <v>no</v>
      </c>
    </row>
    <row r="36" spans="1:18" ht="12.75">
      <c r="A36" s="10">
        <v>1.24</v>
      </c>
      <c r="B36" s="10">
        <f t="shared" si="8"/>
        <v>32</v>
      </c>
      <c r="C36" s="10">
        <f t="shared" si="14"/>
        <v>67.72244114788364</v>
      </c>
      <c r="D36" s="10">
        <f>B36/Main!$B$28</f>
        <v>1.0666666666666667</v>
      </c>
      <c r="E36" s="10">
        <f>C36/Main!$B$28</f>
        <v>2.2574147049294546</v>
      </c>
      <c r="F36" s="10">
        <f>MAX(0,B36-Main!$B$28)/Main!$B$28</f>
        <v>0.06666666666666667</v>
      </c>
      <c r="G36" s="10">
        <f t="shared" si="1"/>
        <v>67.72244114788364</v>
      </c>
      <c r="H36">
        <f t="shared" si="2"/>
        <v>68.21021645852103</v>
      </c>
      <c r="I36">
        <f t="shared" si="3"/>
        <v>67.72244114788364</v>
      </c>
      <c r="M36" s="10">
        <f t="shared" si="9"/>
        <v>31.439999999999987</v>
      </c>
      <c r="N36">
        <f t="shared" si="4"/>
        <v>63.16206056098231</v>
      </c>
      <c r="O36">
        <f t="shared" si="5"/>
        <v>63.97107726115988</v>
      </c>
      <c r="P36" s="10">
        <f t="shared" si="6"/>
        <v>0.8090167001775654</v>
      </c>
      <c r="Q36" s="10" t="str">
        <f t="shared" si="10"/>
        <v>no</v>
      </c>
      <c r="R36" s="10" t="str">
        <f t="shared" si="7"/>
        <v>no</v>
      </c>
    </row>
    <row r="37" spans="1:18" ht="12.75">
      <c r="A37" s="10">
        <v>1.26</v>
      </c>
      <c r="B37" s="10">
        <f t="shared" si="8"/>
        <v>32.5</v>
      </c>
      <c r="C37" s="10">
        <f t="shared" si="14"/>
        <v>71.79420952904543</v>
      </c>
      <c r="D37" s="10">
        <f>B37/Main!$B$28</f>
        <v>1.0833333333333333</v>
      </c>
      <c r="E37" s="10">
        <f>C37/Main!$B$28</f>
        <v>2.3931403176348476</v>
      </c>
      <c r="F37" s="10">
        <f>MAX(0,B37-Main!$B$28)/Main!$B$28</f>
        <v>0.08333333333333333</v>
      </c>
      <c r="G37" s="10">
        <f t="shared" si="1"/>
        <v>71.79420952904543</v>
      </c>
      <c r="H37">
        <f t="shared" si="2"/>
        <v>72.03897155283127</v>
      </c>
      <c r="I37">
        <f t="shared" si="3"/>
        <v>71.79420952904545</v>
      </c>
      <c r="M37" s="10">
        <f t="shared" si="9"/>
        <v>31.459999999999987</v>
      </c>
      <c r="N37">
        <f t="shared" si="4"/>
        <v>63.32493129622877</v>
      </c>
      <c r="O37">
        <f t="shared" si="5"/>
        <v>64.12153624765142</v>
      </c>
      <c r="P37" s="10">
        <f t="shared" si="6"/>
        <v>0.7966049514226512</v>
      </c>
      <c r="Q37" s="10" t="str">
        <f t="shared" si="10"/>
        <v>no</v>
      </c>
      <c r="R37" s="10" t="str">
        <f t="shared" si="7"/>
        <v>no</v>
      </c>
    </row>
    <row r="38" spans="1:18" ht="12.75">
      <c r="A38" s="10">
        <v>1.28</v>
      </c>
      <c r="B38" s="10">
        <f t="shared" si="8"/>
        <v>33</v>
      </c>
      <c r="C38" s="10">
        <f t="shared" si="14"/>
        <v>75.86597791020728</v>
      </c>
      <c r="D38" s="10">
        <f>B38/Main!$B$28</f>
        <v>1.1</v>
      </c>
      <c r="E38" s="10">
        <f>C38/Main!$B$28</f>
        <v>2.5288659303402428</v>
      </c>
      <c r="F38" s="10">
        <f>MAX(0,B38-Main!$B$28)/Main!$B$28</f>
        <v>0.1</v>
      </c>
      <c r="G38" s="10">
        <f t="shared" si="1"/>
        <v>75.86597791020728</v>
      </c>
      <c r="H38">
        <f t="shared" si="2"/>
        <v>75.90598532999269</v>
      </c>
      <c r="I38">
        <f t="shared" si="3"/>
        <v>75.86597791020725</v>
      </c>
      <c r="M38" s="10">
        <f t="shared" si="9"/>
        <v>31.479999999999986</v>
      </c>
      <c r="N38">
        <f t="shared" si="4"/>
        <v>63.48780203147527</v>
      </c>
      <c r="O38">
        <f t="shared" si="5"/>
        <v>64.27206652591103</v>
      </c>
      <c r="P38" s="10">
        <f t="shared" si="6"/>
        <v>0.7842644944357602</v>
      </c>
      <c r="Q38" s="10" t="str">
        <f t="shared" si="10"/>
        <v>no</v>
      </c>
      <c r="R38" s="10" t="str">
        <f t="shared" si="7"/>
        <v>no</v>
      </c>
    </row>
    <row r="39" spans="1:18" ht="12.75">
      <c r="A39" s="10">
        <v>1.3</v>
      </c>
      <c r="B39" s="10">
        <f t="shared" si="8"/>
        <v>33.5</v>
      </c>
      <c r="C39" s="10">
        <f t="shared" si="14"/>
        <v>79.93774629136911</v>
      </c>
      <c r="D39" s="10">
        <f>B39/Main!$B$28</f>
        <v>1.1166666666666667</v>
      </c>
      <c r="E39" s="10">
        <f>C39/Main!$B$28</f>
        <v>2.664591543045637</v>
      </c>
      <c r="F39" s="10">
        <f>MAX(0,B39-Main!$B$28)/Main!$B$28</f>
        <v>0.11666666666666667</v>
      </c>
      <c r="G39" s="10">
        <f t="shared" si="1"/>
        <v>79.93774629136911</v>
      </c>
      <c r="H39">
        <f t="shared" si="2"/>
        <v>79.93774629136908</v>
      </c>
      <c r="I39">
        <f t="shared" si="3"/>
        <v>79.93774629136905</v>
      </c>
      <c r="M39" s="10">
        <f t="shared" si="9"/>
        <v>31.499999999999986</v>
      </c>
      <c r="N39">
        <f t="shared" si="4"/>
        <v>63.65067276672167</v>
      </c>
      <c r="O39">
        <f t="shared" si="5"/>
        <v>64.42266789215651</v>
      </c>
      <c r="P39" s="10">
        <f t="shared" si="6"/>
        <v>0.7719951254348416</v>
      </c>
      <c r="Q39" s="10" t="str">
        <f t="shared" si="10"/>
        <v>no</v>
      </c>
      <c r="R39" s="10" t="str">
        <f t="shared" si="7"/>
        <v>no</v>
      </c>
    </row>
    <row r="40" spans="1:18" ht="12.75">
      <c r="A40" s="10">
        <v>1.32</v>
      </c>
      <c r="B40" s="10">
        <f t="shared" si="8"/>
        <v>34</v>
      </c>
      <c r="C40" s="10">
        <f t="shared" si="14"/>
        <v>84.0095146725309</v>
      </c>
      <c r="D40" s="10">
        <f>B40/Main!$B$28</f>
        <v>1.1333333333333333</v>
      </c>
      <c r="E40" s="10">
        <f>C40/Main!$B$28</f>
        <v>2.80031715575103</v>
      </c>
      <c r="F40" s="10">
        <f>MAX(0,B40-Main!$B$28)/Main!$B$28</f>
        <v>0.13333333333333333</v>
      </c>
      <c r="G40" s="10">
        <f t="shared" si="1"/>
        <v>84.0095146725309</v>
      </c>
      <c r="H40">
        <f t="shared" si="2"/>
        <v>84.00951467253093</v>
      </c>
      <c r="I40">
        <f t="shared" si="3"/>
        <v>84.00951467253091</v>
      </c>
      <c r="M40" s="10">
        <f t="shared" si="9"/>
        <v>31.519999999999985</v>
      </c>
      <c r="N40">
        <f t="shared" si="4"/>
        <v>63.81354350196817</v>
      </c>
      <c r="O40">
        <f t="shared" si="5"/>
        <v>64.57334014293188</v>
      </c>
      <c r="P40" s="10">
        <f t="shared" si="6"/>
        <v>0.7597966409637138</v>
      </c>
      <c r="Q40" s="10" t="str">
        <f t="shared" si="10"/>
        <v>no</v>
      </c>
      <c r="R40" s="10" t="str">
        <f t="shared" si="7"/>
        <v>no</v>
      </c>
    </row>
    <row r="41" spans="1:18" ht="12.75">
      <c r="A41" s="10">
        <v>1.34</v>
      </c>
      <c r="B41" s="10">
        <f t="shared" si="8"/>
        <v>34.5</v>
      </c>
      <c r="C41" s="10">
        <f t="shared" si="14"/>
        <v>88.08128305369274</v>
      </c>
      <c r="D41" s="10">
        <f>B41/Main!$B$28</f>
        <v>1.15</v>
      </c>
      <c r="E41" s="10">
        <f>C41/Main!$B$28</f>
        <v>2.9360427684564248</v>
      </c>
      <c r="F41" s="10">
        <f>MAX(0,B41-Main!$B$28)/Main!$B$28</f>
        <v>0.15</v>
      </c>
      <c r="G41" s="10">
        <f t="shared" si="1"/>
        <v>88.08128305369274</v>
      </c>
      <c r="H41">
        <f t="shared" si="2"/>
        <v>88.08128305369272</v>
      </c>
      <c r="I41">
        <f t="shared" si="3"/>
        <v>88.08128305369272</v>
      </c>
      <c r="M41" s="10">
        <f t="shared" si="9"/>
        <v>31.539999999999985</v>
      </c>
      <c r="N41">
        <f t="shared" si="4"/>
        <v>63.97641423721461</v>
      </c>
      <c r="O41">
        <f t="shared" si="5"/>
        <v>64.72408307510915</v>
      </c>
      <c r="P41" s="10">
        <f t="shared" si="6"/>
        <v>0.7476688378945369</v>
      </c>
      <c r="Q41" s="10" t="str">
        <f t="shared" si="10"/>
        <v>no</v>
      </c>
      <c r="R41" s="10" t="str">
        <f t="shared" si="7"/>
        <v>no</v>
      </c>
    </row>
    <row r="42" spans="1:18" ht="12.75">
      <c r="A42" s="10">
        <v>1.36</v>
      </c>
      <c r="B42" s="10">
        <f t="shared" si="8"/>
        <v>35</v>
      </c>
      <c r="C42" s="10">
        <f t="shared" si="14"/>
        <v>92.15305143485453</v>
      </c>
      <c r="D42" s="10">
        <f>B42/Main!$B$28</f>
        <v>1.1666666666666667</v>
      </c>
      <c r="E42" s="10">
        <f>C42/Main!$B$28</f>
        <v>3.0717683811618177</v>
      </c>
      <c r="F42" s="10">
        <f>MAX(0,B42-Main!$B$28)/Main!$B$28</f>
        <v>0.16666666666666666</v>
      </c>
      <c r="G42" s="10">
        <f t="shared" si="1"/>
        <v>92.15305143485453</v>
      </c>
      <c r="H42">
        <f t="shared" si="2"/>
        <v>92.15305143485453</v>
      </c>
      <c r="I42">
        <f t="shared" si="3"/>
        <v>92.15305143485452</v>
      </c>
      <c r="M42" s="10">
        <f t="shared" si="9"/>
        <v>31.559999999999985</v>
      </c>
      <c r="N42">
        <f t="shared" si="4"/>
        <v>64.13928497246111</v>
      </c>
      <c r="O42">
        <f t="shared" si="5"/>
        <v>64.87489648589076</v>
      </c>
      <c r="P42" s="10">
        <f t="shared" si="6"/>
        <v>0.7356115134296459</v>
      </c>
      <c r="Q42" s="10" t="str">
        <f t="shared" si="10"/>
        <v>no</v>
      </c>
      <c r="R42" s="10" t="str">
        <f t="shared" si="7"/>
        <v>no</v>
      </c>
    </row>
    <row r="43" spans="1:18" ht="12.75">
      <c r="A43" s="10">
        <v>1.38</v>
      </c>
      <c r="B43" s="10">
        <f t="shared" si="8"/>
        <v>35.5</v>
      </c>
      <c r="C43" s="10">
        <f t="shared" si="14"/>
        <v>96.22481981601636</v>
      </c>
      <c r="D43" s="10">
        <f>B43/Main!$B$28</f>
        <v>1.1833333333333333</v>
      </c>
      <c r="E43" s="10">
        <f>C43/Main!$B$28</f>
        <v>3.207493993867212</v>
      </c>
      <c r="F43" s="10">
        <f>MAX(0,B43-Main!$B$28)/Main!$B$28</f>
        <v>0.18333333333333332</v>
      </c>
      <c r="G43" s="10">
        <f t="shared" si="1"/>
        <v>96.22481981601636</v>
      </c>
      <c r="H43">
        <f t="shared" si="2"/>
        <v>96.22481981601635</v>
      </c>
      <c r="I43">
        <f t="shared" si="3"/>
        <v>96.22481981601632</v>
      </c>
      <c r="M43" s="10">
        <f t="shared" si="9"/>
        <v>31.579999999999984</v>
      </c>
      <c r="N43">
        <f t="shared" si="4"/>
        <v>64.30215570770757</v>
      </c>
      <c r="O43">
        <f t="shared" si="5"/>
        <v>65.02578017281148</v>
      </c>
      <c r="P43" s="10">
        <f t="shared" si="6"/>
        <v>0.7236244651039101</v>
      </c>
      <c r="Q43" s="10" t="str">
        <f t="shared" si="10"/>
        <v>no</v>
      </c>
      <c r="R43" s="10" t="str">
        <f t="shared" si="7"/>
        <v>no</v>
      </c>
    </row>
    <row r="44" spans="1:18" ht="12.75">
      <c r="A44" s="10">
        <v>1.4</v>
      </c>
      <c r="B44" s="10">
        <f t="shared" si="8"/>
        <v>36</v>
      </c>
      <c r="C44" s="10">
        <f t="shared" si="14"/>
        <v>100.29658819717815</v>
      </c>
      <c r="D44" s="10">
        <f>B44/Main!$B$28</f>
        <v>1.2</v>
      </c>
      <c r="E44" s="10">
        <f>C44/Main!$B$28</f>
        <v>3.343219606572605</v>
      </c>
      <c r="F44" s="10">
        <f>MAX(0,B44-Main!$B$28)/Main!$B$28</f>
        <v>0.2</v>
      </c>
      <c r="G44" s="10">
        <f t="shared" si="1"/>
        <v>100.29658819717815</v>
      </c>
      <c r="H44">
        <f t="shared" si="2"/>
        <v>100.29658819717815</v>
      </c>
      <c r="I44">
        <f t="shared" si="3"/>
        <v>100.29658819717818</v>
      </c>
      <c r="M44" s="10">
        <f t="shared" si="9"/>
        <v>31.599999999999984</v>
      </c>
      <c r="N44">
        <f t="shared" si="4"/>
        <v>64.46502644295407</v>
      </c>
      <c r="O44">
        <f t="shared" si="5"/>
        <v>65.17673393374042</v>
      </c>
      <c r="P44" s="10">
        <f t="shared" si="6"/>
        <v>0.7117074907863525</v>
      </c>
      <c r="Q44" s="10" t="str">
        <f t="shared" si="10"/>
        <v>no</v>
      </c>
      <c r="R44" s="10" t="str">
        <f t="shared" si="7"/>
        <v>no</v>
      </c>
    </row>
    <row r="45" spans="1:18" ht="12.75">
      <c r="A45" s="10">
        <v>1.42</v>
      </c>
      <c r="B45" s="10">
        <f t="shared" si="8"/>
        <v>36.5</v>
      </c>
      <c r="C45" s="10">
        <f t="shared" si="14"/>
        <v>104.36835657833998</v>
      </c>
      <c r="D45" s="10">
        <f>B45/Main!$B$28</f>
        <v>1.2166666666666666</v>
      </c>
      <c r="E45" s="10">
        <f>C45/Main!$B$28</f>
        <v>3.4789452192779993</v>
      </c>
      <c r="F45" s="10">
        <f>MAX(0,B45-Main!$B$28)/Main!$B$28</f>
        <v>0.21666666666666667</v>
      </c>
      <c r="G45" s="10">
        <f t="shared" si="1"/>
        <v>104.36835657833998</v>
      </c>
      <c r="H45">
        <f t="shared" si="2"/>
        <v>104.36835657833998</v>
      </c>
      <c r="I45">
        <f t="shared" si="3"/>
        <v>104.36835657833998</v>
      </c>
      <c r="M45" s="10">
        <f t="shared" si="9"/>
        <v>31.619999999999983</v>
      </c>
      <c r="N45">
        <f t="shared" si="4"/>
        <v>64.62789717820051</v>
      </c>
      <c r="O45">
        <f t="shared" si="5"/>
        <v>65.32775756688335</v>
      </c>
      <c r="P45" s="10">
        <f t="shared" si="6"/>
        <v>0.6998603886828363</v>
      </c>
      <c r="Q45" s="10" t="str">
        <f t="shared" si="10"/>
        <v>no</v>
      </c>
      <c r="R45" s="10" t="str">
        <f t="shared" si="7"/>
        <v>no</v>
      </c>
    </row>
    <row r="46" spans="1:18" ht="12.75">
      <c r="A46" s="10">
        <v>1.44</v>
      </c>
      <c r="B46" s="10">
        <f t="shared" si="8"/>
        <v>37</v>
      </c>
      <c r="C46" s="10">
        <f t="shared" si="14"/>
        <v>108.44012495950184</v>
      </c>
      <c r="D46" s="10">
        <f>B46/Main!$B$28</f>
        <v>1.2333333333333334</v>
      </c>
      <c r="E46" s="10">
        <f>C46/Main!$B$28</f>
        <v>3.614670831983395</v>
      </c>
      <c r="F46" s="10">
        <f>MAX(0,B46-Main!$B$28)/Main!$B$28</f>
        <v>0.23333333333333334</v>
      </c>
      <c r="G46" s="10">
        <f t="shared" si="1"/>
        <v>108.44012495950184</v>
      </c>
      <c r="H46">
        <f t="shared" si="2"/>
        <v>108.44012495950182</v>
      </c>
      <c r="I46">
        <f t="shared" si="3"/>
        <v>108.44012495950179</v>
      </c>
      <c r="M46" s="10">
        <f t="shared" si="9"/>
        <v>31.639999999999983</v>
      </c>
      <c r="N46">
        <f t="shared" si="4"/>
        <v>64.79076791344701</v>
      </c>
      <c r="O46">
        <f t="shared" si="5"/>
        <v>65.47885087078456</v>
      </c>
      <c r="P46" s="10">
        <f t="shared" si="6"/>
        <v>0.6880829573375422</v>
      </c>
      <c r="Q46" s="10" t="str">
        <f t="shared" si="10"/>
        <v>no</v>
      </c>
      <c r="R46" s="10" t="str">
        <f t="shared" si="7"/>
        <v>no</v>
      </c>
    </row>
    <row r="47" spans="1:18" ht="12.75">
      <c r="A47" s="10">
        <v>1.46</v>
      </c>
      <c r="B47" s="10">
        <f t="shared" si="8"/>
        <v>37.5</v>
      </c>
      <c r="C47" s="10">
        <f t="shared" si="14"/>
        <v>112.51189334066362</v>
      </c>
      <c r="D47" s="10">
        <f>B47/Main!$B$28</f>
        <v>1.25</v>
      </c>
      <c r="E47" s="10">
        <f>C47/Main!$B$28</f>
        <v>3.7503964446887874</v>
      </c>
      <c r="F47" s="10">
        <f>MAX(0,B47-Main!$B$28)/Main!$B$28</f>
        <v>0.25</v>
      </c>
      <c r="G47" s="10">
        <f t="shared" si="1"/>
        <v>112.51189334066362</v>
      </c>
      <c r="H47">
        <f t="shared" si="2"/>
        <v>112.51189334066362</v>
      </c>
      <c r="I47">
        <f t="shared" si="3"/>
        <v>112.51189334066359</v>
      </c>
      <c r="M47" s="10">
        <f t="shared" si="9"/>
        <v>31.659999999999982</v>
      </c>
      <c r="N47">
        <f t="shared" si="4"/>
        <v>64.95363864869341</v>
      </c>
      <c r="O47">
        <f t="shared" si="5"/>
        <v>65.63001364432874</v>
      </c>
      <c r="P47" s="10">
        <f t="shared" si="6"/>
        <v>0.676374995635328</v>
      </c>
      <c r="Q47" s="10" t="str">
        <f t="shared" si="10"/>
        <v>no</v>
      </c>
      <c r="R47" s="10" t="str">
        <f t="shared" si="7"/>
        <v>no</v>
      </c>
    </row>
    <row r="48" spans="1:18" ht="12.75">
      <c r="A48" s="10">
        <v>1.48</v>
      </c>
      <c r="B48" s="10">
        <f t="shared" si="8"/>
        <v>38</v>
      </c>
      <c r="C48" s="10">
        <f t="shared" si="14"/>
        <v>116.58366172182545</v>
      </c>
      <c r="D48" s="10">
        <f>B48/Main!$B$28</f>
        <v>1.2666666666666666</v>
      </c>
      <c r="E48" s="10">
        <f>C48/Main!$B$28</f>
        <v>3.8861220573941817</v>
      </c>
      <c r="F48" s="10">
        <f>MAX(0,B48-Main!$B$28)/Main!$B$28</f>
        <v>0.26666666666666666</v>
      </c>
      <c r="G48" s="10">
        <f t="shared" si="1"/>
        <v>116.58366172182545</v>
      </c>
      <c r="H48">
        <f t="shared" si="2"/>
        <v>116.58366172182544</v>
      </c>
      <c r="I48">
        <f t="shared" si="3"/>
        <v>116.58366172182545</v>
      </c>
      <c r="M48" s="10">
        <f t="shared" si="9"/>
        <v>31.679999999999982</v>
      </c>
      <c r="N48">
        <f t="shared" si="4"/>
        <v>65.11650938393991</v>
      </c>
      <c r="O48">
        <f t="shared" si="5"/>
        <v>65.78124568674329</v>
      </c>
      <c r="P48" s="10">
        <f t="shared" si="6"/>
        <v>0.6647363028033766</v>
      </c>
      <c r="Q48" s="10" t="str">
        <f t="shared" si="10"/>
        <v>no</v>
      </c>
      <c r="R48" s="10" t="str">
        <f t="shared" si="7"/>
        <v>no</v>
      </c>
    </row>
    <row r="49" spans="1:18" ht="12.75">
      <c r="A49" s="10">
        <v>1.5</v>
      </c>
      <c r="B49" s="10">
        <f t="shared" si="8"/>
        <v>38.5</v>
      </c>
      <c r="C49" s="10">
        <f t="shared" si="14"/>
        <v>120.65543010298725</v>
      </c>
      <c r="D49" s="10">
        <f>B49/Main!$B$28</f>
        <v>1.2833333333333334</v>
      </c>
      <c r="E49" s="10">
        <f>C49/Main!$B$28</f>
        <v>4.021847670099575</v>
      </c>
      <c r="F49" s="10">
        <f>MAX(0,B49-Main!$B$28)/Main!$B$28</f>
        <v>0.2833333333333333</v>
      </c>
      <c r="G49" s="10">
        <f t="shared" si="1"/>
        <v>120.65543010298725</v>
      </c>
      <c r="H49">
        <f t="shared" si="2"/>
        <v>120.65543010298728</v>
      </c>
      <c r="I49">
        <f t="shared" si="3"/>
        <v>120.65543010298725</v>
      </c>
      <c r="M49" s="10">
        <f t="shared" si="9"/>
        <v>31.69999999999998</v>
      </c>
      <c r="N49">
        <f t="shared" si="4"/>
        <v>65.27938011918637</v>
      </c>
      <c r="O49">
        <f t="shared" si="5"/>
        <v>65.93254679759983</v>
      </c>
      <c r="P49" s="10">
        <f t="shared" si="6"/>
        <v>0.6531666784134558</v>
      </c>
      <c r="Q49" s="10" t="str">
        <f t="shared" si="10"/>
        <v>no</v>
      </c>
      <c r="R49" s="10" t="str">
        <f t="shared" si="7"/>
        <v>no</v>
      </c>
    </row>
    <row r="50" spans="1:18" ht="12.75">
      <c r="A50" s="10">
        <v>1.52</v>
      </c>
      <c r="B50" s="10">
        <f t="shared" si="8"/>
        <v>39</v>
      </c>
      <c r="C50" s="10">
        <f t="shared" si="14"/>
        <v>124.72719848414908</v>
      </c>
      <c r="D50" s="10">
        <f>B50/Main!$B$28</f>
        <v>1.3</v>
      </c>
      <c r="E50" s="10">
        <f>C50/Main!$B$28</f>
        <v>4.15757328280497</v>
      </c>
      <c r="F50" s="10">
        <f>MAX(0,B50-Main!$B$28)/Main!$B$28</f>
        <v>0.3</v>
      </c>
      <c r="G50" s="10">
        <f t="shared" si="1"/>
        <v>124.72719848414908</v>
      </c>
      <c r="H50">
        <f t="shared" si="2"/>
        <v>124.72719848414908</v>
      </c>
      <c r="I50">
        <f t="shared" si="3"/>
        <v>124.72719848414906</v>
      </c>
      <c r="M50" s="10">
        <f t="shared" si="9"/>
        <v>31.71999999999998</v>
      </c>
      <c r="N50">
        <f t="shared" si="4"/>
        <v>65.44225085443287</v>
      </c>
      <c r="O50">
        <f t="shared" si="5"/>
        <v>66.0839167768168</v>
      </c>
      <c r="P50" s="10">
        <f t="shared" si="6"/>
        <v>0.641665922383936</v>
      </c>
      <c r="Q50" s="10" t="str">
        <f t="shared" si="10"/>
        <v>no</v>
      </c>
      <c r="R50" s="10" t="str">
        <f t="shared" si="7"/>
        <v>no</v>
      </c>
    </row>
    <row r="51" spans="1:18" ht="12.75">
      <c r="A51" s="10">
        <v>1.54</v>
      </c>
      <c r="B51" s="10">
        <f t="shared" si="8"/>
        <v>39.5</v>
      </c>
      <c r="C51" s="10">
        <f t="shared" si="14"/>
        <v>128.7989668653109</v>
      </c>
      <c r="D51" s="10">
        <f>B51/Main!$B$28</f>
        <v>1.3166666666666667</v>
      </c>
      <c r="E51" s="10">
        <f>C51/Main!$B$28</f>
        <v>4.293298895510363</v>
      </c>
      <c r="F51" s="10">
        <f>MAX(0,B51-Main!$B$28)/Main!$B$28</f>
        <v>0.31666666666666665</v>
      </c>
      <c r="G51" s="10">
        <f t="shared" si="1"/>
        <v>128.7989668653109</v>
      </c>
      <c r="H51">
        <f t="shared" si="2"/>
        <v>128.7989668653109</v>
      </c>
      <c r="I51">
        <f t="shared" si="3"/>
        <v>128.79896686531092</v>
      </c>
      <c r="M51" s="10">
        <f t="shared" si="9"/>
        <v>31.73999999999998</v>
      </c>
      <c r="N51">
        <f t="shared" si="4"/>
        <v>65.60512158967931</v>
      </c>
      <c r="O51">
        <f t="shared" si="5"/>
        <v>66.2353554246607</v>
      </c>
      <c r="P51" s="10">
        <f t="shared" si="6"/>
        <v>0.6302338349813823</v>
      </c>
      <c r="Q51" s="10" t="str">
        <f t="shared" si="10"/>
        <v>no</v>
      </c>
      <c r="R51" s="10" t="str">
        <f t="shared" si="7"/>
        <v>no</v>
      </c>
    </row>
    <row r="52" spans="1:18" ht="12.75">
      <c r="A52" s="10">
        <v>1.56</v>
      </c>
      <c r="B52" s="10">
        <f t="shared" si="8"/>
        <v>40</v>
      </c>
      <c r="C52" s="10">
        <f t="shared" si="14"/>
        <v>132.87073524647272</v>
      </c>
      <c r="D52" s="10">
        <f>B52/Main!$B$28</f>
        <v>1.3333333333333333</v>
      </c>
      <c r="E52" s="10">
        <f>C52/Main!$B$28</f>
        <v>4.4290245082157575</v>
      </c>
      <c r="F52" s="10">
        <f>MAX(0,B52-Main!$B$28)/Main!$B$28</f>
        <v>0.3333333333333333</v>
      </c>
      <c r="G52" s="10">
        <f t="shared" si="1"/>
        <v>132.87073524647272</v>
      </c>
      <c r="H52">
        <f t="shared" si="2"/>
        <v>132.87073524647272</v>
      </c>
      <c r="I52">
        <f t="shared" si="3"/>
        <v>132.87073524647272</v>
      </c>
      <c r="M52" s="10">
        <f t="shared" si="9"/>
        <v>31.75999999999998</v>
      </c>
      <c r="N52">
        <f t="shared" si="4"/>
        <v>65.76799232492581</v>
      </c>
      <c r="O52">
        <f t="shared" si="5"/>
        <v>66.38686254174831</v>
      </c>
      <c r="P52" s="10">
        <f t="shared" si="6"/>
        <v>0.6188702168225007</v>
      </c>
      <c r="Q52" s="10" t="str">
        <f t="shared" si="10"/>
        <v>no</v>
      </c>
      <c r="R52" s="10" t="str">
        <f t="shared" si="7"/>
        <v>no</v>
      </c>
    </row>
    <row r="53" spans="1:18" ht="12.75">
      <c r="A53" s="10">
        <v>1.58</v>
      </c>
      <c r="B53" s="10">
        <f t="shared" si="8"/>
        <v>40.5</v>
      </c>
      <c r="C53" s="10">
        <f t="shared" si="14"/>
        <v>136.94250362763455</v>
      </c>
      <c r="D53" s="10">
        <f>B53/Main!$B$28</f>
        <v>1.35</v>
      </c>
      <c r="E53" s="10">
        <f>C53/Main!$B$28</f>
        <v>4.564750120921151</v>
      </c>
      <c r="F53" s="10">
        <f>MAX(0,B53-Main!$B$28)/Main!$B$28</f>
        <v>0.35</v>
      </c>
      <c r="G53" s="10">
        <f t="shared" si="1"/>
        <v>136.94250362763455</v>
      </c>
      <c r="H53">
        <f t="shared" si="2"/>
        <v>136.94250362763455</v>
      </c>
      <c r="I53">
        <f t="shared" si="3"/>
        <v>136.94250362763452</v>
      </c>
      <c r="M53" s="10">
        <f t="shared" si="9"/>
        <v>31.77999999999998</v>
      </c>
      <c r="N53">
        <f t="shared" si="4"/>
        <v>65.93086306017227</v>
      </c>
      <c r="O53">
        <f t="shared" si="5"/>
        <v>66.53843792904884</v>
      </c>
      <c r="P53" s="10">
        <f t="shared" si="6"/>
        <v>0.6075748688765685</v>
      </c>
      <c r="Q53" s="10" t="str">
        <f t="shared" si="10"/>
        <v>no</v>
      </c>
      <c r="R53" s="10" t="str">
        <f t="shared" si="7"/>
        <v>no</v>
      </c>
    </row>
    <row r="54" spans="1:18" ht="12.75">
      <c r="A54" s="10">
        <v>1.6</v>
      </c>
      <c r="B54" s="10">
        <f t="shared" si="8"/>
        <v>41</v>
      </c>
      <c r="C54" s="10">
        <f t="shared" si="14"/>
        <v>141.01427200879635</v>
      </c>
      <c r="D54" s="10">
        <f>B54/Main!$B$28</f>
        <v>1.3666666666666667</v>
      </c>
      <c r="E54" s="10">
        <f>C54/Main!$B$28</f>
        <v>4.700475733626545</v>
      </c>
      <c r="F54" s="10">
        <f>MAX(0,B54-Main!$B$28)/Main!$B$28</f>
        <v>0.36666666666666664</v>
      </c>
      <c r="G54" s="10">
        <f t="shared" si="1"/>
        <v>141.01427200879635</v>
      </c>
      <c r="H54">
        <f t="shared" si="2"/>
        <v>141.01427200879635</v>
      </c>
      <c r="I54">
        <f t="shared" si="3"/>
        <v>141.01427200879633</v>
      </c>
      <c r="M54" s="10">
        <f t="shared" si="9"/>
        <v>31.79999999999998</v>
      </c>
      <c r="N54">
        <f t="shared" si="4"/>
        <v>66.09373379541876</v>
      </c>
      <c r="O54">
        <f t="shared" si="5"/>
        <v>66.69008138788507</v>
      </c>
      <c r="P54" s="10">
        <f t="shared" si="6"/>
        <v>0.5963475924663157</v>
      </c>
      <c r="Q54" s="10" t="str">
        <f t="shared" si="10"/>
        <v>no</v>
      </c>
      <c r="R54" s="10" t="str">
        <f t="shared" si="7"/>
        <v>no</v>
      </c>
    </row>
    <row r="55" spans="1:18" ht="12.75">
      <c r="A55" s="10">
        <v>1.62</v>
      </c>
      <c r="B55" s="10">
        <f t="shared" si="8"/>
        <v>41.5</v>
      </c>
      <c r="C55" s="10">
        <f t="shared" si="14"/>
        <v>145.08604038995819</v>
      </c>
      <c r="D55" s="10">
        <f>B55/Main!$B$28</f>
        <v>1.3833333333333333</v>
      </c>
      <c r="E55" s="10">
        <f>C55/Main!$B$28</f>
        <v>4.836201346331939</v>
      </c>
      <c r="F55" s="10">
        <f>MAX(0,B55-Main!$B$28)/Main!$B$28</f>
        <v>0.38333333333333336</v>
      </c>
      <c r="G55" s="10">
        <f t="shared" si="1"/>
        <v>145.08604038995819</v>
      </c>
      <c r="H55">
        <f t="shared" si="2"/>
        <v>145.08604038995819</v>
      </c>
      <c r="I55">
        <f t="shared" si="3"/>
        <v>145.08604038995819</v>
      </c>
      <c r="M55" s="10">
        <f t="shared" si="9"/>
        <v>31.81999999999998</v>
      </c>
      <c r="N55">
        <f t="shared" si="4"/>
        <v>66.25660453066517</v>
      </c>
      <c r="O55">
        <f t="shared" si="5"/>
        <v>66.84179271993605</v>
      </c>
      <c r="P55" s="10">
        <f t="shared" si="6"/>
        <v>0.5851881892708803</v>
      </c>
      <c r="Q55" s="10" t="str">
        <f t="shared" si="10"/>
        <v>no</v>
      </c>
      <c r="R55" s="10" t="str">
        <f t="shared" si="7"/>
        <v>no</v>
      </c>
    </row>
    <row r="56" spans="1:18" ht="12.75">
      <c r="A56" s="10">
        <v>1.64</v>
      </c>
      <c r="B56" s="10">
        <f t="shared" si="8"/>
        <v>42</v>
      </c>
      <c r="C56" s="10">
        <f t="shared" si="14"/>
        <v>149.15780877112</v>
      </c>
      <c r="D56" s="10">
        <f>B56/Main!$B$28</f>
        <v>1.4</v>
      </c>
      <c r="E56" s="10">
        <f>C56/Main!$B$28</f>
        <v>4.971926959037333</v>
      </c>
      <c r="F56" s="10">
        <f>MAX(0,B56-Main!$B$28)/Main!$B$28</f>
        <v>0.4</v>
      </c>
      <c r="G56" s="10">
        <f t="shared" si="1"/>
        <v>149.15780877112</v>
      </c>
      <c r="H56">
        <f t="shared" si="2"/>
        <v>149.15780877112002</v>
      </c>
      <c r="I56">
        <f t="shared" si="3"/>
        <v>149.15780877112</v>
      </c>
      <c r="M56" s="10">
        <f t="shared" si="9"/>
        <v>31.83999999999998</v>
      </c>
      <c r="N56">
        <f t="shared" si="4"/>
        <v>66.41947526591167</v>
      </c>
      <c r="O56">
        <f t="shared" si="5"/>
        <v>66.99357172723822</v>
      </c>
      <c r="P56" s="10">
        <f t="shared" si="6"/>
        <v>0.5740964613265476</v>
      </c>
      <c r="Q56" s="10" t="str">
        <f t="shared" si="10"/>
        <v>no</v>
      </c>
      <c r="R56" s="10" t="str">
        <f t="shared" si="7"/>
        <v>no</v>
      </c>
    </row>
    <row r="57" spans="1:18" ht="12.75">
      <c r="A57" s="10">
        <v>1.66</v>
      </c>
      <c r="B57" s="10">
        <f t="shared" si="8"/>
        <v>42.5</v>
      </c>
      <c r="C57" s="10">
        <f t="shared" si="14"/>
        <v>153.22957715228182</v>
      </c>
      <c r="D57" s="10">
        <f>B57/Main!$B$28</f>
        <v>1.4166666666666667</v>
      </c>
      <c r="E57" s="10">
        <f>C57/Main!$B$28</f>
        <v>5.107652571742728</v>
      </c>
      <c r="F57" s="10">
        <f>MAX(0,B57-Main!$B$28)/Main!$B$28</f>
        <v>0.4166666666666667</v>
      </c>
      <c r="G57" s="10">
        <f t="shared" si="1"/>
        <v>153.22957715228182</v>
      </c>
      <c r="H57">
        <f t="shared" si="2"/>
        <v>153.22957715228182</v>
      </c>
      <c r="I57">
        <f t="shared" si="3"/>
        <v>153.2295771522818</v>
      </c>
      <c r="M57" s="10">
        <f t="shared" si="9"/>
        <v>31.859999999999978</v>
      </c>
      <c r="N57">
        <f t="shared" si="4"/>
        <v>66.58234600115811</v>
      </c>
      <c r="O57">
        <f t="shared" si="5"/>
        <v>67.14541821218756</v>
      </c>
      <c r="P57" s="10">
        <f t="shared" si="6"/>
        <v>0.5630722110294499</v>
      </c>
      <c r="Q57" s="10" t="str">
        <f t="shared" si="10"/>
        <v>no</v>
      </c>
      <c r="R57" s="10" t="str">
        <f t="shared" si="7"/>
        <v>no</v>
      </c>
    </row>
    <row r="58" spans="1:18" ht="12.75">
      <c r="A58" s="10">
        <v>1.68</v>
      </c>
      <c r="B58" s="10">
        <f t="shared" si="8"/>
        <v>43</v>
      </c>
      <c r="C58" s="10">
        <f t="shared" si="14"/>
        <v>157.30134553344362</v>
      </c>
      <c r="D58" s="10">
        <f>B58/Main!$B$28</f>
        <v>1.4333333333333333</v>
      </c>
      <c r="E58" s="10">
        <f>C58/Main!$B$28</f>
        <v>5.243378184448121</v>
      </c>
      <c r="F58" s="10">
        <f>MAX(0,B58-Main!$B$28)/Main!$B$28</f>
        <v>0.43333333333333335</v>
      </c>
      <c r="G58" s="10">
        <f t="shared" si="1"/>
        <v>157.30134553344362</v>
      </c>
      <c r="H58">
        <f t="shared" si="2"/>
        <v>157.30134553344362</v>
      </c>
      <c r="I58">
        <f t="shared" si="3"/>
        <v>157.3013455334436</v>
      </c>
      <c r="M58" s="10">
        <f t="shared" si="9"/>
        <v>31.879999999999978</v>
      </c>
      <c r="N58">
        <f t="shared" si="4"/>
        <v>66.74521673640461</v>
      </c>
      <c r="O58">
        <f t="shared" si="5"/>
        <v>67.2973319775414</v>
      </c>
      <c r="P58" s="10">
        <f t="shared" si="6"/>
        <v>0.5521152411367893</v>
      </c>
      <c r="Q58" s="10" t="str">
        <f t="shared" si="10"/>
        <v>no</v>
      </c>
      <c r="R58" s="10" t="str">
        <f t="shared" si="7"/>
        <v>no</v>
      </c>
    </row>
    <row r="59" spans="1:18" ht="12.75">
      <c r="A59" s="10">
        <v>1.7</v>
      </c>
      <c r="B59" s="10">
        <f t="shared" si="8"/>
        <v>43.5</v>
      </c>
      <c r="C59" s="10">
        <f t="shared" si="14"/>
        <v>161.37311391460545</v>
      </c>
      <c r="D59" s="10">
        <f>B59/Main!$B$28</f>
        <v>1.45</v>
      </c>
      <c r="E59" s="10">
        <f>C59/Main!$B$28</f>
        <v>5.379103797153515</v>
      </c>
      <c r="F59" s="10">
        <f>MAX(0,B59-Main!$B$28)/Main!$B$28</f>
        <v>0.45</v>
      </c>
      <c r="G59" s="10">
        <f t="shared" si="1"/>
        <v>161.37311391460545</v>
      </c>
      <c r="H59">
        <f t="shared" si="2"/>
        <v>161.37311391460545</v>
      </c>
      <c r="I59">
        <f t="shared" si="3"/>
        <v>161.37311391460545</v>
      </c>
      <c r="M59" s="10">
        <f t="shared" si="9"/>
        <v>31.899999999999977</v>
      </c>
      <c r="N59">
        <f t="shared" si="4"/>
        <v>66.90808747165111</v>
      </c>
      <c r="O59">
        <f t="shared" si="5"/>
        <v>67.44931282642</v>
      </c>
      <c r="P59" s="10">
        <f t="shared" si="6"/>
        <v>0.5412253547688834</v>
      </c>
      <c r="Q59" s="10" t="str">
        <f t="shared" si="10"/>
        <v>no</v>
      </c>
      <c r="R59" s="10" t="str">
        <f t="shared" si="7"/>
        <v>no</v>
      </c>
    </row>
    <row r="60" spans="1:18" ht="12.75">
      <c r="A60" s="10">
        <v>1.72</v>
      </c>
      <c r="B60" s="10">
        <f t="shared" si="8"/>
        <v>44</v>
      </c>
      <c r="C60" s="10">
        <f t="shared" si="14"/>
        <v>165.4448822957673</v>
      </c>
      <c r="D60" s="10">
        <f>B60/Main!$B$28</f>
        <v>1.4666666666666666</v>
      </c>
      <c r="E60" s="10">
        <f>C60/Main!$B$28</f>
        <v>5.514829409858909</v>
      </c>
      <c r="F60" s="10">
        <f>MAX(0,B60-Main!$B$28)/Main!$B$28</f>
        <v>0.4666666666666667</v>
      </c>
      <c r="G60" s="10">
        <f t="shared" si="1"/>
        <v>165.4448822957673</v>
      </c>
      <c r="H60">
        <f t="shared" si="2"/>
        <v>165.4448822957673</v>
      </c>
      <c r="I60">
        <f t="shared" si="3"/>
        <v>165.44488229576726</v>
      </c>
      <c r="M60" s="10">
        <f t="shared" si="9"/>
        <v>31.919999999999977</v>
      </c>
      <c r="N60">
        <f t="shared" si="4"/>
        <v>67.07095820689756</v>
      </c>
      <c r="O60">
        <f t="shared" si="5"/>
        <v>67.60136056230829</v>
      </c>
      <c r="P60" s="10">
        <f t="shared" si="6"/>
        <v>0.5304023554107289</v>
      </c>
      <c r="Q60" s="10" t="str">
        <f t="shared" si="10"/>
        <v>no</v>
      </c>
      <c r="R60" s="10" t="str">
        <f t="shared" si="7"/>
        <v>no</v>
      </c>
    </row>
    <row r="61" spans="1:18" ht="12.75">
      <c r="A61" s="10">
        <v>1.74</v>
      </c>
      <c r="B61" s="10">
        <f t="shared" si="8"/>
        <v>44.5</v>
      </c>
      <c r="C61" s="10">
        <f t="shared" si="14"/>
        <v>169.5166506769291</v>
      </c>
      <c r="D61" s="10">
        <f>B61/Main!$B$28</f>
        <v>1.4833333333333334</v>
      </c>
      <c r="E61" s="10">
        <f>C61/Main!$B$28</f>
        <v>5.650555022564303</v>
      </c>
      <c r="F61" s="10">
        <f>MAX(0,B61-Main!$B$28)/Main!$B$28</f>
        <v>0.48333333333333334</v>
      </c>
      <c r="G61" s="10">
        <f t="shared" si="1"/>
        <v>169.5166506769291</v>
      </c>
      <c r="H61">
        <f t="shared" si="2"/>
        <v>169.5166506769291</v>
      </c>
      <c r="I61">
        <f t="shared" si="3"/>
        <v>169.51665067692906</v>
      </c>
      <c r="M61" s="10">
        <f t="shared" si="9"/>
        <v>31.939999999999976</v>
      </c>
      <c r="N61">
        <f t="shared" si="4"/>
        <v>67.23382894214406</v>
      </c>
      <c r="O61">
        <f t="shared" si="5"/>
        <v>67.75347498905774</v>
      </c>
      <c r="P61" s="10">
        <f t="shared" si="6"/>
        <v>0.5196460469136781</v>
      </c>
      <c r="Q61" s="10" t="str">
        <f t="shared" si="10"/>
        <v>no</v>
      </c>
      <c r="R61" s="10" t="str">
        <f t="shared" si="7"/>
        <v>no</v>
      </c>
    </row>
    <row r="62" spans="1:18" ht="12.75">
      <c r="A62" s="10">
        <v>1.76</v>
      </c>
      <c r="B62" s="10">
        <f t="shared" si="8"/>
        <v>45</v>
      </c>
      <c r="C62" s="10">
        <f t="shared" si="14"/>
        <v>173.58841905809092</v>
      </c>
      <c r="D62" s="10">
        <f>B62/Main!$B$28</f>
        <v>1.5</v>
      </c>
      <c r="E62" s="10">
        <f>C62/Main!$B$28</f>
        <v>5.786280635269697</v>
      </c>
      <c r="F62" s="10">
        <f>MAX(0,B62-Main!$B$28)/Main!$B$28</f>
        <v>0.5</v>
      </c>
      <c r="G62" s="10">
        <f t="shared" si="1"/>
        <v>173.58841905809092</v>
      </c>
      <c r="H62">
        <f t="shared" si="2"/>
        <v>173.58841905809086</v>
      </c>
      <c r="I62">
        <f t="shared" si="3"/>
        <v>173.58841905809086</v>
      </c>
      <c r="M62" s="10">
        <f t="shared" si="9"/>
        <v>31.959999999999976</v>
      </c>
      <c r="N62">
        <f t="shared" si="4"/>
        <v>67.39669967739052</v>
      </c>
      <c r="O62">
        <f t="shared" si="5"/>
        <v>67.9056559108881</v>
      </c>
      <c r="P62" s="10">
        <f t="shared" si="6"/>
        <v>0.5089562334975852</v>
      </c>
      <c r="Q62" s="10" t="str">
        <f t="shared" si="10"/>
        <v>no</v>
      </c>
      <c r="R62" s="10" t="str">
        <f t="shared" si="7"/>
        <v>no</v>
      </c>
    </row>
    <row r="63" spans="1:18" ht="12.75">
      <c r="A63" s="10">
        <v>1.78</v>
      </c>
      <c r="B63" s="10">
        <f t="shared" si="8"/>
        <v>45.5</v>
      </c>
      <c r="C63" s="10">
        <f t="shared" si="14"/>
        <v>177.6601874392527</v>
      </c>
      <c r="D63" s="10">
        <f>B63/Main!$B$28</f>
        <v>1.5166666666666666</v>
      </c>
      <c r="E63" s="10">
        <f>C63/Main!$B$28</f>
        <v>5.92200624797509</v>
      </c>
      <c r="F63" s="10">
        <f>MAX(0,B63-Main!$B$28)/Main!$B$28</f>
        <v>0.5166666666666667</v>
      </c>
      <c r="G63" s="10">
        <f t="shared" si="1"/>
        <v>177.6601874392527</v>
      </c>
      <c r="H63">
        <f t="shared" si="2"/>
        <v>177.66018743925272</v>
      </c>
      <c r="I63">
        <f t="shared" si="3"/>
        <v>177.66018743925272</v>
      </c>
      <c r="M63" s="10">
        <f t="shared" si="9"/>
        <v>31.979999999999976</v>
      </c>
      <c r="N63">
        <f t="shared" si="4"/>
        <v>67.55957041263696</v>
      </c>
      <c r="O63">
        <f t="shared" si="5"/>
        <v>68.05790313238879</v>
      </c>
      <c r="P63" s="10">
        <f t="shared" si="6"/>
        <v>0.49833271975182925</v>
      </c>
      <c r="Q63" s="10" t="str">
        <f t="shared" si="10"/>
        <v>no</v>
      </c>
      <c r="R63" s="10" t="str">
        <f t="shared" si="7"/>
        <v>no</v>
      </c>
    </row>
    <row r="64" spans="1:18" ht="12.75">
      <c r="A64" s="10">
        <v>1.8</v>
      </c>
      <c r="B64" s="10">
        <f t="shared" si="8"/>
        <v>46</v>
      </c>
      <c r="C64" s="10">
        <f t="shared" si="14"/>
        <v>181.73195582041456</v>
      </c>
      <c r="D64" s="10">
        <f>B64/Main!$B$28</f>
        <v>1.5333333333333334</v>
      </c>
      <c r="E64" s="10">
        <f>C64/Main!$B$28</f>
        <v>6.0577318606804855</v>
      </c>
      <c r="F64" s="10">
        <f>MAX(0,B64-Main!$B$28)/Main!$B$28</f>
        <v>0.5333333333333333</v>
      </c>
      <c r="G64" s="10">
        <f t="shared" si="1"/>
        <v>181.73195582041456</v>
      </c>
      <c r="H64">
        <f t="shared" si="2"/>
        <v>181.73195582041456</v>
      </c>
      <c r="I64">
        <f t="shared" si="3"/>
        <v>181.73195582041453</v>
      </c>
      <c r="M64" s="10">
        <f t="shared" si="9"/>
        <v>31.999999999999975</v>
      </c>
      <c r="N64">
        <f t="shared" si="4"/>
        <v>67.72244114788342</v>
      </c>
      <c r="O64">
        <f t="shared" si="5"/>
        <v>68.21021645852085</v>
      </c>
      <c r="P64" s="10">
        <f t="shared" si="6"/>
        <v>0.4877753106374314</v>
      </c>
      <c r="Q64" s="10" t="str">
        <f t="shared" si="10"/>
        <v>no</v>
      </c>
      <c r="R64" s="10" t="str">
        <f t="shared" si="7"/>
        <v>no</v>
      </c>
    </row>
    <row r="65" spans="1:18" ht="12.75">
      <c r="A65" s="10">
        <v>1.82</v>
      </c>
      <c r="B65" s="10">
        <f t="shared" si="8"/>
        <v>46.5</v>
      </c>
      <c r="C65" s="10">
        <f t="shared" si="14"/>
        <v>185.80372420157633</v>
      </c>
      <c r="D65" s="10">
        <f>B65/Main!$B$28</f>
        <v>1.55</v>
      </c>
      <c r="E65" s="10">
        <f>C65/Main!$B$28</f>
        <v>6.193457473385878</v>
      </c>
      <c r="F65" s="10">
        <f>MAX(0,B65-Main!$B$28)/Main!$B$28</f>
        <v>0.55</v>
      </c>
      <c r="G65" s="10">
        <f t="shared" si="1"/>
        <v>185.80372420157633</v>
      </c>
      <c r="H65">
        <f t="shared" si="2"/>
        <v>185.80372420157633</v>
      </c>
      <c r="I65">
        <f t="shared" si="3"/>
        <v>185.80372420157633</v>
      </c>
      <c r="M65" s="10">
        <f t="shared" si="9"/>
        <v>32.019999999999975</v>
      </c>
      <c r="N65">
        <f t="shared" si="4"/>
        <v>67.88531188312992</v>
      </c>
      <c r="O65">
        <f t="shared" si="5"/>
        <v>68.36259569461846</v>
      </c>
      <c r="P65" s="10">
        <f t="shared" si="6"/>
        <v>0.47728381148854737</v>
      </c>
      <c r="Q65" s="10" t="str">
        <f t="shared" si="10"/>
        <v>no</v>
      </c>
      <c r="R65" s="10" t="str">
        <f t="shared" si="7"/>
        <v>no</v>
      </c>
    </row>
    <row r="66" spans="1:18" ht="12.75">
      <c r="A66" s="10">
        <v>1.84</v>
      </c>
      <c r="B66" s="10">
        <f t="shared" si="8"/>
        <v>47</v>
      </c>
      <c r="C66" s="10">
        <f t="shared" si="14"/>
        <v>189.87549258273816</v>
      </c>
      <c r="D66" s="10">
        <f>B66/Main!$B$28</f>
        <v>1.5666666666666667</v>
      </c>
      <c r="E66" s="10">
        <f>C66/Main!$B$28</f>
        <v>6.329183086091272</v>
      </c>
      <c r="F66" s="10">
        <f>MAX(0,B66-Main!$B$28)/Main!$B$28</f>
        <v>0.5666666666666667</v>
      </c>
      <c r="G66" s="10">
        <f t="shared" si="1"/>
        <v>189.87549258273816</v>
      </c>
      <c r="H66">
        <f t="shared" si="2"/>
        <v>189.87549258273822</v>
      </c>
      <c r="I66">
        <f t="shared" si="3"/>
        <v>189.87549258273813</v>
      </c>
      <c r="M66" s="10">
        <f t="shared" si="9"/>
        <v>32.03999999999998</v>
      </c>
      <c r="N66">
        <f t="shared" si="4"/>
        <v>68.04818261837642</v>
      </c>
      <c r="O66">
        <f t="shared" si="5"/>
        <v>68.51504064639045</v>
      </c>
      <c r="P66" s="10">
        <f t="shared" si="6"/>
        <v>0.4668580280140304</v>
      </c>
      <c r="Q66" s="10" t="str">
        <f t="shared" si="10"/>
        <v>no</v>
      </c>
      <c r="R66" s="10" t="str">
        <f t="shared" si="7"/>
        <v>no</v>
      </c>
    </row>
    <row r="67" spans="1:18" ht="12.75">
      <c r="A67" s="10">
        <v>1.86</v>
      </c>
      <c r="B67" s="10">
        <f t="shared" si="8"/>
        <v>47.5</v>
      </c>
      <c r="C67" s="10">
        <f t="shared" si="14"/>
        <v>193.94726096390002</v>
      </c>
      <c r="D67" s="10">
        <f>B67/Main!$B$28</f>
        <v>1.5833333333333333</v>
      </c>
      <c r="E67" s="10">
        <f>C67/Main!$B$28</f>
        <v>6.464908698796667</v>
      </c>
      <c r="F67" s="10">
        <f>MAX(0,B67-Main!$B$28)/Main!$B$28</f>
        <v>0.5833333333333334</v>
      </c>
      <c r="G67" s="10">
        <f t="shared" si="1"/>
        <v>193.94726096390002</v>
      </c>
      <c r="H67">
        <f t="shared" si="2"/>
        <v>193.94726096389994</v>
      </c>
      <c r="I67">
        <f t="shared" si="3"/>
        <v>193.9472609639</v>
      </c>
      <c r="M67" s="10">
        <f t="shared" si="9"/>
        <v>32.05999999999998</v>
      </c>
      <c r="N67">
        <f t="shared" si="4"/>
        <v>68.2110533536229</v>
      </c>
      <c r="O67">
        <f t="shared" si="5"/>
        <v>68.66755111992221</v>
      </c>
      <c r="P67" s="10">
        <f t="shared" si="6"/>
        <v>0.4564977662993073</v>
      </c>
      <c r="Q67" s="10" t="str">
        <f t="shared" si="10"/>
        <v>no</v>
      </c>
      <c r="R67" s="10" t="str">
        <f t="shared" si="7"/>
        <v>no</v>
      </c>
    </row>
    <row r="68" spans="1:18" ht="12.75">
      <c r="A68" s="10">
        <v>1.88</v>
      </c>
      <c r="B68" s="10">
        <f t="shared" si="8"/>
        <v>48</v>
      </c>
      <c r="C68" s="10">
        <f t="shared" si="14"/>
        <v>198.0190293450618</v>
      </c>
      <c r="D68" s="10">
        <f>B68/Main!$B$28</f>
        <v>1.6</v>
      </c>
      <c r="E68" s="10">
        <f>C68/Main!$B$28</f>
        <v>6.60063431150206</v>
      </c>
      <c r="F68" s="10">
        <f>MAX(0,B68-Main!$B$28)/Main!$B$28</f>
        <v>0.6</v>
      </c>
      <c r="G68" s="10">
        <f t="shared" si="1"/>
        <v>198.0190293450618</v>
      </c>
      <c r="H68">
        <f t="shared" si="2"/>
        <v>198.01902934506182</v>
      </c>
      <c r="I68">
        <f t="shared" si="3"/>
        <v>198.0190293450618</v>
      </c>
      <c r="M68" s="10">
        <f t="shared" si="9"/>
        <v>32.079999999999984</v>
      </c>
      <c r="N68">
        <f t="shared" si="4"/>
        <v>68.3739240888694</v>
      </c>
      <c r="O68">
        <f t="shared" si="5"/>
        <v>68.820126921677</v>
      </c>
      <c r="P68" s="10">
        <f t="shared" si="6"/>
        <v>0.4462028328076002</v>
      </c>
      <c r="Q68" s="10" t="str">
        <f t="shared" si="10"/>
        <v>no</v>
      </c>
      <c r="R68" s="10" t="str">
        <f t="shared" si="7"/>
        <v>no</v>
      </c>
    </row>
    <row r="69" spans="1:18" ht="12.75">
      <c r="A69" s="10">
        <v>1.9</v>
      </c>
      <c r="B69" s="10">
        <f t="shared" si="8"/>
        <v>48.5</v>
      </c>
      <c r="C69" s="10">
        <f t="shared" si="14"/>
        <v>202.09079772622363</v>
      </c>
      <c r="D69" s="10">
        <f>B69/Main!$B$28</f>
        <v>1.6166666666666667</v>
      </c>
      <c r="E69" s="10">
        <f>C69/Main!$B$28</f>
        <v>6.736359924207454</v>
      </c>
      <c r="F69" s="10">
        <f>MAX(0,B69-Main!$B$28)/Main!$B$28</f>
        <v>0.6166666666666667</v>
      </c>
      <c r="G69" s="10">
        <f aca="true" t="shared" si="15" ref="G69:G74">MAX(0,-Inv+((FC0/100)*BjStAmericanCall(q_*B_*B69*(EXP(-(delta/100)*2)),Idp,years+(months/12),r_/100,delta/100,sigma/100)))</f>
        <v>202.09079772622363</v>
      </c>
      <c r="H69">
        <f aca="true" t="shared" si="16" ref="H69:H74">EXP(-(r_/100)*tR_)*(((sinal_pos/100)*(IF(years+(months/12)&lt;0,0,IF(AND(FC_pos*((q_*B_*B69*(EXP(-(delta/100)*2)))-Idp)&lt;Inv,years+(months/12)=0),0,BjStAmericanCall(FC_pos*q_*B_*B69*(EXP(-(delta/100)*2)),Inv+(FC_pos*Idp),years+(months/12),r_/100,delta/100,sigma/100)))))+((1-(sinal_pos/100))*IF(years+(months/12)&lt;0,0,IF(AND(FC_neg*((q_*B_*B69*(EXP(-(delta/100)*2)))-Idp)&lt;Inv,years+(months/12)=0),0,BjStAmericanCall(FC_neg*q_*B_*B69*(EXP(-(delta/100)*2)),Inv+(FC_neg*Idp),years+(months/12),r_/100,delta/100,sigma/100)))))</f>
        <v>202.09079772622363</v>
      </c>
      <c r="I69">
        <f aca="true" t="shared" si="17" ref="I69:I74">BjStAmericanCall((FC0/100)*q_*B_*B69*(EXP(-(delta/100)*2)),Inv+((FC0/100)*Idp),years+(months/12),r_/100,delta/100,sigma/100)</f>
        <v>202.0907977262236</v>
      </c>
      <c r="M69" s="10">
        <f t="shared" si="9"/>
        <v>32.09999999999999</v>
      </c>
      <c r="N69">
        <f aca="true" t="shared" si="18" ref="N69:N132">-Inv+((FC0/100)*BjStAmericanCall(q_*B_*M69*(EXP(-(delta/100)*2)),Idp,years+(months/12),r_/100,delta/100,sigma/100))</f>
        <v>68.53679482411586</v>
      </c>
      <c r="O69">
        <f aca="true" t="shared" si="19" ref="O69:O132">EXP(-(r_/100)*tR_)*(((sinal_pos/100)*(IF(years+(months/12)&lt;0,0,IF(AND(FC_pos*((q_*B_*M69*(EXP(-(delta/100)*2)))-Idp)&lt;Inv,years+(months/12)=0),0,BjStAmericanCall(FC_pos*q_*B_*M69*(EXP(-(delta/100)*2)),Inv+(FC_pos*Idp),years+(months/12),r_/100,delta/100,sigma/100)))))+((1-(sinal_pos/100))*IF(years+(months/12)&lt;0,0,IF(AND(FC_neg*((q_*B_*M69*(EXP(-(delta/100)*2)))-Idp)&lt;Inv,years+(months/12)=0),0,BjStAmericanCall(FC_neg*q_*B_*M69*(EXP(-(delta/100)*2)),Inv+(FC_neg*Idp),years+(months/12),r_/100,delta/100,sigma/100)))))</f>
        <v>68.9727678584976</v>
      </c>
      <c r="P69" s="10">
        <f aca="true" t="shared" si="20" ref="P69:P132">O69-N69</f>
        <v>0.43597303438174606</v>
      </c>
      <c r="Q69" s="10" t="str">
        <f t="shared" si="10"/>
        <v>no</v>
      </c>
      <c r="R69" s="10" t="str">
        <f aca="true" t="shared" si="21" ref="R69:R132">IF(AND(Q69="no",Q70="yes"),"yes","no")</f>
        <v>no</v>
      </c>
    </row>
    <row r="70" spans="1:18" ht="12.75">
      <c r="A70" s="10">
        <v>1.92</v>
      </c>
      <c r="B70" s="10">
        <f>B69+deltaP</f>
        <v>49</v>
      </c>
      <c r="C70" s="10">
        <f t="shared" si="14"/>
        <v>206.16256610738543</v>
      </c>
      <c r="D70" s="10">
        <f>B70/Main!$B$28</f>
        <v>1.6333333333333333</v>
      </c>
      <c r="E70" s="10">
        <f>C70/Main!$B$28</f>
        <v>6.872085536912848</v>
      </c>
      <c r="F70" s="10">
        <f>MAX(0,B70-Main!$B$28)/Main!$B$28</f>
        <v>0.6333333333333333</v>
      </c>
      <c r="G70" s="10">
        <f t="shared" si="15"/>
        <v>206.16256610738543</v>
      </c>
      <c r="H70">
        <f t="shared" si="16"/>
        <v>206.16256610738543</v>
      </c>
      <c r="I70">
        <f t="shared" si="17"/>
        <v>206.1625661073854</v>
      </c>
      <c r="M70" s="10">
        <f aca="true" t="shared" si="22" ref="M70:M75">M69+deltaP_S</f>
        <v>32.11999999999999</v>
      </c>
      <c r="N70">
        <f t="shared" si="18"/>
        <v>68.6996655593624</v>
      </c>
      <c r="O70">
        <f t="shared" si="19"/>
        <v>69.12547373760788</v>
      </c>
      <c r="P70" s="10">
        <f t="shared" si="20"/>
        <v>0.42580817824547523</v>
      </c>
      <c r="Q70" s="10" t="str">
        <f aca="true" t="shared" si="23" ref="Q70:Q133">IF(AND(Q69="no",P70&lt;=0),"yes",IF(AND(Q69="no",P70&gt;0),"no",""))</f>
        <v>no</v>
      </c>
      <c r="R70" s="10" t="str">
        <f t="shared" si="21"/>
        <v>no</v>
      </c>
    </row>
    <row r="71" spans="1:18" ht="12.75">
      <c r="A71" s="10">
        <v>1.94</v>
      </c>
      <c r="B71" s="10">
        <f>B70+deltaP</f>
        <v>49.5</v>
      </c>
      <c r="C71" s="10">
        <f t="shared" si="14"/>
        <v>210.23433448854726</v>
      </c>
      <c r="D71" s="10">
        <f>B71/Main!$B$28</f>
        <v>1.65</v>
      </c>
      <c r="E71" s="10">
        <f>C71/Main!$B$28</f>
        <v>7.0078111496182425</v>
      </c>
      <c r="F71" s="10">
        <f>MAX(0,B71-Main!$B$28)/Main!$B$28</f>
        <v>0.65</v>
      </c>
      <c r="G71" s="10">
        <f t="shared" si="15"/>
        <v>210.23433448854726</v>
      </c>
      <c r="H71">
        <f t="shared" si="16"/>
        <v>210.23433448854726</v>
      </c>
      <c r="I71">
        <f t="shared" si="17"/>
        <v>210.23433448854726</v>
      </c>
      <c r="M71" s="10">
        <f t="shared" si="22"/>
        <v>32.13999999999999</v>
      </c>
      <c r="N71">
        <f t="shared" si="18"/>
        <v>68.8625362946089</v>
      </c>
      <c r="O71">
        <f t="shared" si="19"/>
        <v>69.27824436661402</v>
      </c>
      <c r="P71" s="10">
        <f t="shared" si="20"/>
        <v>0.41570807200511695</v>
      </c>
      <c r="Q71" s="10" t="str">
        <f t="shared" si="23"/>
        <v>no</v>
      </c>
      <c r="R71" s="10" t="str">
        <f t="shared" si="21"/>
        <v>no</v>
      </c>
    </row>
    <row r="72" spans="1:18" ht="12.75">
      <c r="A72" s="10">
        <v>1.96</v>
      </c>
      <c r="B72" s="10">
        <f>B71+deltaP</f>
        <v>50</v>
      </c>
      <c r="C72" s="10">
        <f t="shared" si="14"/>
        <v>214.30610286970906</v>
      </c>
      <c r="D72" s="10">
        <f>B72/Main!$B$28</f>
        <v>1.6666666666666667</v>
      </c>
      <c r="E72" s="10">
        <f>C72/Main!$B$28</f>
        <v>7.143536762323635</v>
      </c>
      <c r="F72" s="10">
        <f>MAX(0,B72-Main!$B$28)/Main!$B$28</f>
        <v>0.6666666666666666</v>
      </c>
      <c r="G72" s="10">
        <f t="shared" si="15"/>
        <v>214.30610286970906</v>
      </c>
      <c r="H72">
        <f t="shared" si="16"/>
        <v>214.3061028697091</v>
      </c>
      <c r="I72">
        <f t="shared" si="17"/>
        <v>214.30610286970906</v>
      </c>
      <c r="M72" s="10">
        <f t="shared" si="22"/>
        <v>32.16</v>
      </c>
      <c r="N72">
        <f t="shared" si="18"/>
        <v>69.02540702985539</v>
      </c>
      <c r="O72">
        <f t="shared" si="19"/>
        <v>69.43107955350683</v>
      </c>
      <c r="P72" s="10">
        <f t="shared" si="20"/>
        <v>0.4056725236514467</v>
      </c>
      <c r="Q72" s="10" t="str">
        <f t="shared" si="23"/>
        <v>no</v>
      </c>
      <c r="R72" s="10" t="str">
        <f t="shared" si="21"/>
        <v>no</v>
      </c>
    </row>
    <row r="73" spans="1:18" ht="12.75">
      <c r="A73" s="10">
        <v>1.98</v>
      </c>
      <c r="B73" s="10">
        <f>B72+deltaP</f>
        <v>50.5</v>
      </c>
      <c r="C73" s="10">
        <f t="shared" si="14"/>
        <v>218.37787125087095</v>
      </c>
      <c r="D73" s="10">
        <f>B73/Main!$B$28</f>
        <v>1.6833333333333333</v>
      </c>
      <c r="E73" s="10">
        <f>C73/Main!$B$28</f>
        <v>7.279262375029032</v>
      </c>
      <c r="F73" s="10">
        <f>MAX(0,B73-Main!$B$28)/Main!$B$28</f>
        <v>0.6833333333333333</v>
      </c>
      <c r="G73" s="10">
        <f t="shared" si="15"/>
        <v>218.37787125087095</v>
      </c>
      <c r="H73">
        <f t="shared" si="16"/>
        <v>218.3778712508709</v>
      </c>
      <c r="I73">
        <f t="shared" si="17"/>
        <v>218.37787125087087</v>
      </c>
      <c r="M73" s="10">
        <f t="shared" si="22"/>
        <v>32.18</v>
      </c>
      <c r="N73">
        <f t="shared" si="18"/>
        <v>69.18827776510189</v>
      </c>
      <c r="O73">
        <f t="shared" si="19"/>
        <v>69.58397910666233</v>
      </c>
      <c r="P73" s="10">
        <f t="shared" si="20"/>
        <v>0.39570134156043935</v>
      </c>
      <c r="Q73" s="10" t="str">
        <f t="shared" si="23"/>
        <v>no</v>
      </c>
      <c r="R73" s="10" t="str">
        <f t="shared" si="21"/>
        <v>no</v>
      </c>
    </row>
    <row r="74" spans="1:18" ht="12.75">
      <c r="A74" s="10">
        <v>2</v>
      </c>
      <c r="B74" s="10">
        <f>B73+deltaP</f>
        <v>51</v>
      </c>
      <c r="C74" s="10">
        <f t="shared" si="14"/>
        <v>222.4496396320327</v>
      </c>
      <c r="D74" s="10">
        <f>B74/Main!$B$28</f>
        <v>1.7</v>
      </c>
      <c r="E74" s="10">
        <f>C74/Main!$B$28</f>
        <v>7.414987987734423</v>
      </c>
      <c r="F74" s="10">
        <f>MAX(0,B74-Main!$B$28)/Main!$B$28</f>
        <v>0.7</v>
      </c>
      <c r="G74" s="10">
        <f t="shared" si="15"/>
        <v>222.4496396320327</v>
      </c>
      <c r="H74">
        <f t="shared" si="16"/>
        <v>222.44963963203273</v>
      </c>
      <c r="I74">
        <f t="shared" si="17"/>
        <v>222.44963963203267</v>
      </c>
      <c r="M74" s="10">
        <f t="shared" si="22"/>
        <v>32.2</v>
      </c>
      <c r="N74">
        <f t="shared" si="18"/>
        <v>69.35114850034839</v>
      </c>
      <c r="O74">
        <f t="shared" si="19"/>
        <v>69.73694283484366</v>
      </c>
      <c r="P74" s="10">
        <f t="shared" si="20"/>
        <v>0.385794334495273</v>
      </c>
      <c r="Q74" s="10" t="str">
        <f t="shared" si="23"/>
        <v>no</v>
      </c>
      <c r="R74" s="10" t="str">
        <f t="shared" si="21"/>
        <v>no</v>
      </c>
    </row>
    <row r="75" spans="13:18" ht="12.75">
      <c r="M75" s="10">
        <f t="shared" si="22"/>
        <v>32.220000000000006</v>
      </c>
      <c r="N75">
        <f t="shared" si="18"/>
        <v>69.51401923559489</v>
      </c>
      <c r="O75">
        <f t="shared" si="19"/>
        <v>69.8899705472025</v>
      </c>
      <c r="P75" s="10">
        <f t="shared" si="20"/>
        <v>0.37595131160760786</v>
      </c>
      <c r="Q75" s="10" t="str">
        <f t="shared" si="23"/>
        <v>no</v>
      </c>
      <c r="R75" s="10" t="str">
        <f t="shared" si="21"/>
        <v>no</v>
      </c>
    </row>
    <row r="76" spans="13:18" ht="12.75">
      <c r="M76" s="10">
        <f aca="true" t="shared" si="24" ref="M76:M139">M75+deltaP_S</f>
        <v>32.24000000000001</v>
      </c>
      <c r="N76">
        <f t="shared" si="18"/>
        <v>69.67688997084139</v>
      </c>
      <c r="O76">
        <f t="shared" si="19"/>
        <v>70.04306205328044</v>
      </c>
      <c r="P76" s="10">
        <f t="shared" si="20"/>
        <v>0.36617208243905</v>
      </c>
      <c r="Q76" s="10" t="str">
        <f t="shared" si="23"/>
        <v>no</v>
      </c>
      <c r="R76" s="10" t="str">
        <f t="shared" si="21"/>
        <v>no</v>
      </c>
    </row>
    <row r="77" spans="13:18" ht="12.75">
      <c r="M77" s="10">
        <f t="shared" si="24"/>
        <v>32.26000000000001</v>
      </c>
      <c r="N77">
        <f t="shared" si="18"/>
        <v>69.83976070608787</v>
      </c>
      <c r="O77">
        <f t="shared" si="19"/>
        <v>70.19621716301043</v>
      </c>
      <c r="P77" s="10">
        <f t="shared" si="20"/>
        <v>0.3564564569225581</v>
      </c>
      <c r="Q77" s="10" t="str">
        <f t="shared" si="23"/>
        <v>no</v>
      </c>
      <c r="R77" s="10" t="str">
        <f t="shared" si="21"/>
        <v>no</v>
      </c>
    </row>
    <row r="78" spans="13:18" ht="12.75">
      <c r="M78" s="10">
        <f t="shared" si="24"/>
        <v>32.280000000000015</v>
      </c>
      <c r="N78">
        <f t="shared" si="18"/>
        <v>70.00263144133437</v>
      </c>
      <c r="O78">
        <f t="shared" si="19"/>
        <v>70.34943568671814</v>
      </c>
      <c r="P78" s="10">
        <f t="shared" si="20"/>
        <v>0.3468042453837654</v>
      </c>
      <c r="Q78" s="10" t="str">
        <f t="shared" si="23"/>
        <v>no</v>
      </c>
      <c r="R78" s="10" t="str">
        <f t="shared" si="21"/>
        <v>no</v>
      </c>
    </row>
    <row r="79" spans="13:18" ht="12.75">
      <c r="M79" s="10">
        <f t="shared" si="24"/>
        <v>32.30000000000002</v>
      </c>
      <c r="N79">
        <f t="shared" si="18"/>
        <v>70.16550217658087</v>
      </c>
      <c r="O79">
        <f t="shared" si="19"/>
        <v>70.5027174351234</v>
      </c>
      <c r="P79" s="10">
        <f t="shared" si="20"/>
        <v>0.3372152585425283</v>
      </c>
      <c r="Q79" s="10" t="str">
        <f t="shared" si="23"/>
        <v>no</v>
      </c>
      <c r="R79" s="10" t="str">
        <f t="shared" si="21"/>
        <v>no</v>
      </c>
    </row>
    <row r="80" spans="13:18" ht="12.75">
      <c r="M80" s="10">
        <f t="shared" si="24"/>
        <v>32.32000000000002</v>
      </c>
      <c r="N80">
        <f t="shared" si="18"/>
        <v>70.32837291182737</v>
      </c>
      <c r="O80">
        <f t="shared" si="19"/>
        <v>70.65606221934145</v>
      </c>
      <c r="P80" s="10">
        <f t="shared" si="20"/>
        <v>0.32768930751407765</v>
      </c>
      <c r="Q80" s="10" t="str">
        <f t="shared" si="23"/>
        <v>no</v>
      </c>
      <c r="R80" s="10" t="str">
        <f t="shared" si="21"/>
        <v>no</v>
      </c>
    </row>
    <row r="81" spans="13:18" ht="12.75">
      <c r="M81" s="10">
        <f t="shared" si="24"/>
        <v>32.340000000000025</v>
      </c>
      <c r="N81">
        <f t="shared" si="18"/>
        <v>70.49124364707387</v>
      </c>
      <c r="O81">
        <f t="shared" si="19"/>
        <v>70.80946985088435</v>
      </c>
      <c r="P81" s="10">
        <f t="shared" si="20"/>
        <v>0.3182262038104824</v>
      </c>
      <c r="Q81" s="10" t="str">
        <f t="shared" si="23"/>
        <v>no</v>
      </c>
      <c r="R81" s="10" t="str">
        <f t="shared" si="21"/>
        <v>no</v>
      </c>
    </row>
    <row r="82" spans="13:18" ht="12.75">
      <c r="M82" s="10">
        <f t="shared" si="24"/>
        <v>32.36000000000003</v>
      </c>
      <c r="N82">
        <f t="shared" si="18"/>
        <v>70.65411438232036</v>
      </c>
      <c r="O82">
        <f t="shared" si="19"/>
        <v>70.96294014166259</v>
      </c>
      <c r="P82" s="10">
        <f t="shared" si="20"/>
        <v>0.308825759342227</v>
      </c>
      <c r="Q82" s="10" t="str">
        <f t="shared" si="23"/>
        <v>no</v>
      </c>
      <c r="R82" s="10" t="str">
        <f t="shared" si="21"/>
        <v>no</v>
      </c>
    </row>
    <row r="83" spans="13:18" ht="12.75">
      <c r="M83" s="10">
        <f t="shared" si="24"/>
        <v>32.38000000000003</v>
      </c>
      <c r="N83">
        <f t="shared" si="18"/>
        <v>70.8169851175669</v>
      </c>
      <c r="O83">
        <f t="shared" si="19"/>
        <v>71.11647291923215</v>
      </c>
      <c r="P83" s="10">
        <f t="shared" si="20"/>
        <v>0.2994878016652507</v>
      </c>
      <c r="Q83" s="10" t="str">
        <f t="shared" si="23"/>
        <v>no</v>
      </c>
      <c r="R83" s="10" t="str">
        <f t="shared" si="21"/>
        <v>no</v>
      </c>
    </row>
    <row r="84" spans="13:18" ht="12.75">
      <c r="M84" s="10">
        <f t="shared" si="24"/>
        <v>32.400000000000034</v>
      </c>
      <c r="N84">
        <f t="shared" si="18"/>
        <v>70.97985585281336</v>
      </c>
      <c r="O84">
        <f t="shared" si="19"/>
        <v>71.27006799203312</v>
      </c>
      <c r="P84" s="10">
        <f t="shared" si="20"/>
        <v>0.2902121392197614</v>
      </c>
      <c r="Q84" s="10" t="str">
        <f t="shared" si="23"/>
        <v>no</v>
      </c>
      <c r="R84" s="10" t="str">
        <f t="shared" si="21"/>
        <v>no</v>
      </c>
    </row>
    <row r="85" spans="13:18" ht="12.75">
      <c r="M85" s="10">
        <f t="shared" si="24"/>
        <v>32.42000000000004</v>
      </c>
      <c r="N85">
        <f t="shared" si="18"/>
        <v>71.14272658805986</v>
      </c>
      <c r="O85">
        <f t="shared" si="19"/>
        <v>71.42372519277424</v>
      </c>
      <c r="P85" s="10">
        <f t="shared" si="20"/>
        <v>0.28099860471438376</v>
      </c>
      <c r="Q85" s="10" t="str">
        <f t="shared" si="23"/>
        <v>no</v>
      </c>
      <c r="R85" s="10" t="str">
        <f t="shared" si="21"/>
        <v>no</v>
      </c>
    </row>
    <row r="86" spans="13:18" ht="12.75">
      <c r="M86" s="10">
        <f t="shared" si="24"/>
        <v>32.44000000000004</v>
      </c>
      <c r="N86">
        <f t="shared" si="18"/>
        <v>71.30559732330636</v>
      </c>
      <c r="O86">
        <f t="shared" si="19"/>
        <v>71.57744433501755</v>
      </c>
      <c r="P86" s="10">
        <f t="shared" si="20"/>
        <v>0.27184701171118775</v>
      </c>
      <c r="Q86" s="10" t="str">
        <f t="shared" si="23"/>
        <v>no</v>
      </c>
      <c r="R86" s="10" t="str">
        <f t="shared" si="21"/>
        <v>no</v>
      </c>
    </row>
    <row r="87" spans="13:18" ht="12.75">
      <c r="M87" s="10">
        <f t="shared" si="24"/>
        <v>32.46000000000004</v>
      </c>
      <c r="N87">
        <f t="shared" si="18"/>
        <v>71.46846805855284</v>
      </c>
      <c r="O87">
        <f t="shared" si="19"/>
        <v>71.73122523275472</v>
      </c>
      <c r="P87" s="10">
        <f t="shared" si="20"/>
        <v>0.26275717420188016</v>
      </c>
      <c r="Q87" s="10" t="str">
        <f t="shared" si="23"/>
        <v>no</v>
      </c>
      <c r="R87" s="10" t="str">
        <f t="shared" si="21"/>
        <v>no</v>
      </c>
    </row>
    <row r="88" spans="13:18" ht="12.75">
      <c r="M88" s="10">
        <f t="shared" si="24"/>
        <v>32.48000000000005</v>
      </c>
      <c r="N88">
        <f t="shared" si="18"/>
        <v>71.63133879379939</v>
      </c>
      <c r="O88">
        <f t="shared" si="19"/>
        <v>71.88506770040809</v>
      </c>
      <c r="P88" s="10">
        <f t="shared" si="20"/>
        <v>0.25372890660869984</v>
      </c>
      <c r="Q88" s="10" t="str">
        <f t="shared" si="23"/>
        <v>no</v>
      </c>
      <c r="R88" s="10" t="str">
        <f t="shared" si="21"/>
        <v>no</v>
      </c>
    </row>
    <row r="89" spans="13:18" ht="12.75">
      <c r="M89" s="10">
        <f t="shared" si="24"/>
        <v>32.50000000000005</v>
      </c>
      <c r="N89">
        <f t="shared" si="18"/>
        <v>71.79420952904584</v>
      </c>
      <c r="O89">
        <f t="shared" si="19"/>
        <v>72.03897155283167</v>
      </c>
      <c r="P89" s="10">
        <f t="shared" si="20"/>
        <v>0.24476202378582457</v>
      </c>
      <c r="Q89" s="10" t="str">
        <f t="shared" si="23"/>
        <v>no</v>
      </c>
      <c r="R89" s="10" t="str">
        <f t="shared" si="21"/>
        <v>no</v>
      </c>
    </row>
    <row r="90" spans="13:18" ht="12.75">
      <c r="M90" s="10">
        <f t="shared" si="24"/>
        <v>32.52000000000005</v>
      </c>
      <c r="N90">
        <f t="shared" si="18"/>
        <v>71.95708026429234</v>
      </c>
      <c r="O90">
        <f t="shared" si="19"/>
        <v>72.19293660531223</v>
      </c>
      <c r="P90" s="10">
        <f t="shared" si="20"/>
        <v>0.23585634101988262</v>
      </c>
      <c r="Q90" s="10" t="str">
        <f t="shared" si="23"/>
        <v>no</v>
      </c>
      <c r="R90" s="10" t="str">
        <f t="shared" si="21"/>
        <v>no</v>
      </c>
    </row>
    <row r="91" spans="13:18" ht="12.75">
      <c r="M91" s="10">
        <f t="shared" si="24"/>
        <v>32.540000000000056</v>
      </c>
      <c r="N91">
        <f t="shared" si="18"/>
        <v>72.11995099953884</v>
      </c>
      <c r="O91">
        <f t="shared" si="19"/>
        <v>72.34696267357072</v>
      </c>
      <c r="P91" s="10">
        <f t="shared" si="20"/>
        <v>0.22701167403187128</v>
      </c>
      <c r="Q91" s="10" t="str">
        <f t="shared" si="23"/>
        <v>no</v>
      </c>
      <c r="R91" s="10" t="str">
        <f t="shared" si="21"/>
        <v>no</v>
      </c>
    </row>
    <row r="92" spans="13:18" ht="12.75">
      <c r="M92" s="10">
        <f t="shared" si="24"/>
        <v>32.56000000000006</v>
      </c>
      <c r="N92">
        <f t="shared" si="18"/>
        <v>72.28282173478533</v>
      </c>
      <c r="O92">
        <f t="shared" si="19"/>
        <v>72.50104957376307</v>
      </c>
      <c r="P92" s="10">
        <f t="shared" si="20"/>
        <v>0.21822783897773945</v>
      </c>
      <c r="Q92" s="10" t="str">
        <f t="shared" si="23"/>
        <v>no</v>
      </c>
      <c r="R92" s="10" t="str">
        <f t="shared" si="21"/>
        <v>no</v>
      </c>
    </row>
    <row r="93" spans="13:18" ht="12.75">
      <c r="M93" s="10">
        <f t="shared" si="24"/>
        <v>32.58000000000006</v>
      </c>
      <c r="N93">
        <f t="shared" si="18"/>
        <v>72.44569247003187</v>
      </c>
      <c r="O93">
        <f t="shared" si="19"/>
        <v>72.65519712248138</v>
      </c>
      <c r="P93" s="10">
        <f t="shared" si="20"/>
        <v>0.20950465244951033</v>
      </c>
      <c r="Q93" s="10" t="str">
        <f t="shared" si="23"/>
        <v>no</v>
      </c>
      <c r="R93" s="10" t="str">
        <f t="shared" si="21"/>
        <v>no</v>
      </c>
    </row>
    <row r="94" spans="13:18" ht="12.75">
      <c r="M94" s="10">
        <f t="shared" si="24"/>
        <v>32.600000000000065</v>
      </c>
      <c r="N94">
        <f t="shared" si="18"/>
        <v>72.60856320527833</v>
      </c>
      <c r="O94">
        <f t="shared" si="19"/>
        <v>72.80940513675509</v>
      </c>
      <c r="P94" s="10">
        <f t="shared" si="20"/>
        <v>0.20084193147675933</v>
      </c>
      <c r="Q94" s="10" t="str">
        <f t="shared" si="23"/>
        <v>no</v>
      </c>
      <c r="R94" s="10" t="str">
        <f t="shared" si="21"/>
        <v>no</v>
      </c>
    </row>
    <row r="95" spans="13:18" ht="12.75">
      <c r="M95" s="10">
        <f t="shared" si="24"/>
        <v>32.62000000000007</v>
      </c>
      <c r="N95">
        <f t="shared" si="18"/>
        <v>72.77143394052483</v>
      </c>
      <c r="O95">
        <f t="shared" si="19"/>
        <v>72.96367343405188</v>
      </c>
      <c r="P95" s="10">
        <f t="shared" si="20"/>
        <v>0.1922394935270546</v>
      </c>
      <c r="Q95" s="10" t="str">
        <f t="shared" si="23"/>
        <v>no</v>
      </c>
      <c r="R95" s="10" t="str">
        <f t="shared" si="21"/>
        <v>no</v>
      </c>
    </row>
    <row r="96" spans="13:18" ht="12.75">
      <c r="M96" s="10">
        <f t="shared" si="24"/>
        <v>32.64000000000007</v>
      </c>
      <c r="N96">
        <f t="shared" si="18"/>
        <v>72.93430467577133</v>
      </c>
      <c r="O96">
        <f t="shared" si="19"/>
        <v>73.11800183227892</v>
      </c>
      <c r="P96" s="10">
        <f t="shared" si="20"/>
        <v>0.18369715650759133</v>
      </c>
      <c r="Q96" s="10" t="str">
        <f t="shared" si="23"/>
        <v>no</v>
      </c>
      <c r="R96" s="10" t="str">
        <f t="shared" si="21"/>
        <v>no</v>
      </c>
    </row>
    <row r="97" spans="13:18" ht="12.75">
      <c r="M97" s="10">
        <f t="shared" si="24"/>
        <v>32.660000000000075</v>
      </c>
      <c r="N97">
        <f t="shared" si="18"/>
        <v>73.09717541101787</v>
      </c>
      <c r="O97">
        <f t="shared" si="19"/>
        <v>73.27239014978383</v>
      </c>
      <c r="P97" s="10">
        <f t="shared" si="20"/>
        <v>0.17521473876595905</v>
      </c>
      <c r="Q97" s="10" t="str">
        <f t="shared" si="23"/>
        <v>no</v>
      </c>
      <c r="R97" s="10" t="str">
        <f t="shared" si="21"/>
        <v>no</v>
      </c>
    </row>
    <row r="98" spans="13:18" ht="12.75">
      <c r="M98" s="10">
        <f t="shared" si="24"/>
        <v>32.68000000000008</v>
      </c>
      <c r="N98">
        <f t="shared" si="18"/>
        <v>73.26004614626436</v>
      </c>
      <c r="O98">
        <f t="shared" si="19"/>
        <v>73.4268382053555</v>
      </c>
      <c r="P98" s="10">
        <f t="shared" si="20"/>
        <v>0.16679205909113648</v>
      </c>
      <c r="Q98" s="10" t="str">
        <f t="shared" si="23"/>
        <v>no</v>
      </c>
      <c r="R98" s="10" t="str">
        <f t="shared" si="21"/>
        <v>no</v>
      </c>
    </row>
    <row r="99" spans="13:18" ht="12.75">
      <c r="M99" s="10">
        <f t="shared" si="24"/>
        <v>32.70000000000008</v>
      </c>
      <c r="N99">
        <f t="shared" si="18"/>
        <v>73.42291688151082</v>
      </c>
      <c r="O99">
        <f t="shared" si="19"/>
        <v>73.5813458182256</v>
      </c>
      <c r="P99" s="10">
        <f t="shared" si="20"/>
        <v>0.15842893671478464</v>
      </c>
      <c r="Q99" s="10" t="str">
        <f t="shared" si="23"/>
        <v>no</v>
      </c>
      <c r="R99" s="10" t="str">
        <f t="shared" si="21"/>
        <v>no</v>
      </c>
    </row>
    <row r="100" spans="13:18" ht="12.75">
      <c r="M100" s="10">
        <f t="shared" si="24"/>
        <v>32.720000000000084</v>
      </c>
      <c r="N100">
        <f t="shared" si="18"/>
        <v>73.58578761675732</v>
      </c>
      <c r="O100">
        <f t="shared" si="19"/>
        <v>73.73591280806912</v>
      </c>
      <c r="P100" s="10">
        <f t="shared" si="20"/>
        <v>0.15012519131180113</v>
      </c>
      <c r="Q100" s="10" t="str">
        <f t="shared" si="23"/>
        <v>no</v>
      </c>
      <c r="R100" s="10" t="str">
        <f t="shared" si="21"/>
        <v>no</v>
      </c>
    </row>
    <row r="101" spans="13:18" ht="12.75">
      <c r="M101" s="10">
        <f t="shared" si="24"/>
        <v>32.74000000000009</v>
      </c>
      <c r="N101">
        <f t="shared" si="18"/>
        <v>73.74865835200382</v>
      </c>
      <c r="O101">
        <f t="shared" si="19"/>
        <v>73.89053899500558</v>
      </c>
      <c r="P101" s="10">
        <f t="shared" si="20"/>
        <v>0.1418806430017696</v>
      </c>
      <c r="Q101" s="10" t="str">
        <f t="shared" si="23"/>
        <v>no</v>
      </c>
      <c r="R101" s="10" t="str">
        <f t="shared" si="21"/>
        <v>no</v>
      </c>
    </row>
    <row r="102" spans="13:18" ht="12.75">
      <c r="M102" s="10">
        <f t="shared" si="24"/>
        <v>32.76000000000009</v>
      </c>
      <c r="N102">
        <f t="shared" si="18"/>
        <v>73.91152908725036</v>
      </c>
      <c r="O102">
        <f t="shared" si="19"/>
        <v>74.0452241996</v>
      </c>
      <c r="P102" s="10">
        <f t="shared" si="20"/>
        <v>0.13369511234964193</v>
      </c>
      <c r="Q102" s="10" t="str">
        <f t="shared" si="23"/>
        <v>no</v>
      </c>
      <c r="R102" s="10" t="str">
        <f t="shared" si="21"/>
        <v>no</v>
      </c>
    </row>
    <row r="103" spans="13:18" ht="12.75">
      <c r="M103" s="10">
        <f t="shared" si="24"/>
        <v>32.78000000000009</v>
      </c>
      <c r="N103">
        <f t="shared" si="18"/>
        <v>74.07439982249684</v>
      </c>
      <c r="O103">
        <f t="shared" si="19"/>
        <v>74.199968242864</v>
      </c>
      <c r="P103" s="10">
        <f t="shared" si="20"/>
        <v>0.1255684203671592</v>
      </c>
      <c r="Q103" s="10" t="str">
        <f t="shared" si="23"/>
        <v>no</v>
      </c>
      <c r="R103" s="10" t="str">
        <f t="shared" si="21"/>
        <v>no</v>
      </c>
    </row>
    <row r="104" spans="13:18" ht="12.75">
      <c r="M104" s="10">
        <f t="shared" si="24"/>
        <v>32.8000000000001</v>
      </c>
      <c r="N104">
        <f t="shared" si="18"/>
        <v>74.2372705577433</v>
      </c>
      <c r="O104">
        <f t="shared" si="19"/>
        <v>74.35477094625637</v>
      </c>
      <c r="P104" s="10">
        <f t="shared" si="20"/>
        <v>0.11750038851306499</v>
      </c>
      <c r="Q104" s="10" t="str">
        <f t="shared" si="23"/>
        <v>no</v>
      </c>
      <c r="R104" s="10" t="str">
        <f t="shared" si="21"/>
        <v>no</v>
      </c>
    </row>
    <row r="105" spans="13:18" ht="12.75">
      <c r="M105" s="10">
        <f t="shared" si="24"/>
        <v>32.8200000000001</v>
      </c>
      <c r="N105">
        <f t="shared" si="18"/>
        <v>74.4001412929898</v>
      </c>
      <c r="O105">
        <f t="shared" si="19"/>
        <v>74.5096321316845</v>
      </c>
      <c r="P105" s="10">
        <f t="shared" si="20"/>
        <v>0.10949083869469689</v>
      </c>
      <c r="Q105" s="10" t="str">
        <f t="shared" si="23"/>
        <v>no</v>
      </c>
      <c r="R105" s="10" t="str">
        <f t="shared" si="21"/>
        <v>no</v>
      </c>
    </row>
    <row r="106" spans="13:18" ht="12.75">
      <c r="M106" s="10">
        <f t="shared" si="24"/>
        <v>32.8400000000001</v>
      </c>
      <c r="N106">
        <f t="shared" si="18"/>
        <v>74.56301202823634</v>
      </c>
      <c r="O106">
        <f t="shared" si="19"/>
        <v>74.66455162150496</v>
      </c>
      <c r="P106" s="10">
        <f t="shared" si="20"/>
        <v>0.10153959326861184</v>
      </c>
      <c r="Q106" s="10" t="str">
        <f t="shared" si="23"/>
        <v>no</v>
      </c>
      <c r="R106" s="10" t="str">
        <f t="shared" si="21"/>
        <v>no</v>
      </c>
    </row>
    <row r="107" spans="13:18" ht="12.75">
      <c r="M107" s="10">
        <f t="shared" si="24"/>
        <v>32.860000000000106</v>
      </c>
      <c r="N107">
        <f t="shared" si="18"/>
        <v>74.72588276348284</v>
      </c>
      <c r="O107">
        <f t="shared" si="19"/>
        <v>74.81952923852467</v>
      </c>
      <c r="P107" s="10">
        <f t="shared" si="20"/>
        <v>0.09364647504182244</v>
      </c>
      <c r="Q107" s="10" t="str">
        <f t="shared" si="23"/>
        <v>no</v>
      </c>
      <c r="R107" s="10" t="str">
        <f t="shared" si="21"/>
        <v>no</v>
      </c>
    </row>
    <row r="108" spans="13:18" ht="12.75">
      <c r="M108" s="10">
        <f t="shared" si="24"/>
        <v>32.88000000000011</v>
      </c>
      <c r="N108">
        <f t="shared" si="18"/>
        <v>74.88875349872933</v>
      </c>
      <c r="O108">
        <f t="shared" si="19"/>
        <v>74.97456480600181</v>
      </c>
      <c r="P108" s="10">
        <f t="shared" si="20"/>
        <v>0.0858113072724791</v>
      </c>
      <c r="Q108" s="10" t="str">
        <f t="shared" si="23"/>
        <v>no</v>
      </c>
      <c r="R108" s="10" t="str">
        <f t="shared" si="21"/>
        <v>no</v>
      </c>
    </row>
    <row r="109" spans="13:18" ht="12.75">
      <c r="M109" s="10">
        <f t="shared" si="24"/>
        <v>32.90000000000011</v>
      </c>
      <c r="N109">
        <f t="shared" si="18"/>
        <v>75.05162423397583</v>
      </c>
      <c r="O109">
        <f t="shared" si="19"/>
        <v>75.12965814764634</v>
      </c>
      <c r="P109" s="10">
        <f t="shared" si="20"/>
        <v>0.07803391367050949</v>
      </c>
      <c r="Q109" s="10" t="str">
        <f t="shared" si="23"/>
        <v>no</v>
      </c>
      <c r="R109" s="10" t="str">
        <f t="shared" si="21"/>
        <v>no</v>
      </c>
    </row>
    <row r="110" spans="13:18" ht="12.75">
      <c r="M110" s="10">
        <f t="shared" si="24"/>
        <v>32.920000000000115</v>
      </c>
      <c r="N110">
        <f t="shared" si="18"/>
        <v>75.21449496922229</v>
      </c>
      <c r="O110">
        <f t="shared" si="19"/>
        <v>75.28480908762147</v>
      </c>
      <c r="P110" s="10">
        <f t="shared" si="20"/>
        <v>0.07031411839918178</v>
      </c>
      <c r="Q110" s="10" t="str">
        <f t="shared" si="23"/>
        <v>no</v>
      </c>
      <c r="R110" s="10" t="str">
        <f t="shared" si="21"/>
        <v>no</v>
      </c>
    </row>
    <row r="111" spans="13:18" ht="12.75">
      <c r="M111" s="10">
        <f t="shared" si="24"/>
        <v>32.94000000000012</v>
      </c>
      <c r="N111">
        <f t="shared" si="18"/>
        <v>75.37736570446883</v>
      </c>
      <c r="O111">
        <f t="shared" si="19"/>
        <v>75.44001745054413</v>
      </c>
      <c r="P111" s="10">
        <f t="shared" si="20"/>
        <v>0.06265174607530355</v>
      </c>
      <c r="Q111" s="10" t="str">
        <f t="shared" si="23"/>
        <v>no</v>
      </c>
      <c r="R111" s="10" t="str">
        <f t="shared" si="21"/>
        <v>no</v>
      </c>
    </row>
    <row r="112" spans="13:18" ht="12.75">
      <c r="M112" s="10">
        <f t="shared" si="24"/>
        <v>32.96000000000012</v>
      </c>
      <c r="N112">
        <f t="shared" si="18"/>
        <v>75.54023643971533</v>
      </c>
      <c r="O112">
        <f t="shared" si="19"/>
        <v>75.5952830614861</v>
      </c>
      <c r="P112" s="10">
        <f t="shared" si="20"/>
        <v>0.0550466217707708</v>
      </c>
      <c r="Q112" s="10" t="str">
        <f t="shared" si="23"/>
        <v>no</v>
      </c>
      <c r="R112" s="10" t="str">
        <f t="shared" si="21"/>
        <v>no</v>
      </c>
    </row>
    <row r="113" spans="13:18" ht="12.75">
      <c r="M113" s="10">
        <f t="shared" si="24"/>
        <v>32.980000000000125</v>
      </c>
      <c r="N113">
        <f t="shared" si="18"/>
        <v>75.70310717496181</v>
      </c>
      <c r="O113">
        <f t="shared" si="19"/>
        <v>75.7506057459747</v>
      </c>
      <c r="P113" s="10">
        <f t="shared" si="20"/>
        <v>0.047498571012880575</v>
      </c>
      <c r="Q113" s="10" t="str">
        <f t="shared" si="23"/>
        <v>no</v>
      </c>
      <c r="R113" s="10" t="str">
        <f t="shared" si="21"/>
        <v>no</v>
      </c>
    </row>
    <row r="114" spans="13:18" ht="12.75">
      <c r="M114" s="10">
        <f t="shared" si="24"/>
        <v>33.00000000000013</v>
      </c>
      <c r="N114">
        <f t="shared" si="18"/>
        <v>75.86597791020831</v>
      </c>
      <c r="O114">
        <f t="shared" si="19"/>
        <v>75.90598532999371</v>
      </c>
      <c r="P114" s="10">
        <f t="shared" si="20"/>
        <v>0.04000741978539679</v>
      </c>
      <c r="Q114" s="10" t="str">
        <f t="shared" si="23"/>
        <v>no</v>
      </c>
      <c r="R114" s="10" t="str">
        <f t="shared" si="21"/>
        <v>no</v>
      </c>
    </row>
    <row r="115" spans="13:18" ht="12.75">
      <c r="M115" s="10">
        <f t="shared" si="24"/>
        <v>33.02000000000013</v>
      </c>
      <c r="N115">
        <f t="shared" si="18"/>
        <v>76.02884864545481</v>
      </c>
      <c r="O115">
        <f t="shared" si="19"/>
        <v>76.06142163998408</v>
      </c>
      <c r="P115" s="10">
        <f t="shared" si="20"/>
        <v>0.03257299452926077</v>
      </c>
      <c r="Q115" s="10" t="str">
        <f t="shared" si="23"/>
        <v>no</v>
      </c>
      <c r="R115" s="10" t="str">
        <f t="shared" si="21"/>
        <v>no</v>
      </c>
    </row>
    <row r="116" spans="13:18" ht="12.75">
      <c r="M116" s="10">
        <f t="shared" si="24"/>
        <v>33.040000000000134</v>
      </c>
      <c r="N116">
        <f t="shared" si="18"/>
        <v>76.19171938070131</v>
      </c>
      <c r="O116">
        <f t="shared" si="19"/>
        <v>76.21691450284503</v>
      </c>
      <c r="P116" s="10">
        <f t="shared" si="20"/>
        <v>0.02519512214371389</v>
      </c>
      <c r="Q116" s="10" t="str">
        <f t="shared" si="23"/>
        <v>no</v>
      </c>
      <c r="R116" s="10" t="str">
        <f t="shared" si="21"/>
        <v>no</v>
      </c>
    </row>
    <row r="117" spans="13:18" ht="12.75">
      <c r="M117" s="10">
        <f t="shared" si="24"/>
        <v>33.06000000000014</v>
      </c>
      <c r="N117">
        <f t="shared" si="18"/>
        <v>76.35459011594781</v>
      </c>
      <c r="O117">
        <f t="shared" si="19"/>
        <v>76.37246374593474</v>
      </c>
      <c r="P117" s="10">
        <f t="shared" si="20"/>
        <v>0.01787362998692288</v>
      </c>
      <c r="Q117" s="10" t="str">
        <f t="shared" si="23"/>
        <v>no</v>
      </c>
      <c r="R117" s="10" t="str">
        <f t="shared" si="21"/>
        <v>no</v>
      </c>
    </row>
    <row r="118" spans="13:18" ht="12.75">
      <c r="M118" s="10">
        <f t="shared" si="24"/>
        <v>33.08000000000014</v>
      </c>
      <c r="N118">
        <f t="shared" si="18"/>
        <v>76.5174608511943</v>
      </c>
      <c r="O118">
        <f t="shared" si="19"/>
        <v>76.52806919707093</v>
      </c>
      <c r="P118" s="10">
        <f t="shared" si="20"/>
        <v>0.010608345876633507</v>
      </c>
      <c r="Q118" s="10" t="str">
        <f t="shared" si="23"/>
        <v>no</v>
      </c>
      <c r="R118" s="10" t="str">
        <f t="shared" si="21"/>
        <v>no</v>
      </c>
    </row>
    <row r="119" spans="13:18" ht="12.75">
      <c r="M119" s="10">
        <f t="shared" si="24"/>
        <v>33.10000000000014</v>
      </c>
      <c r="N119">
        <f t="shared" si="18"/>
        <v>76.6803315864408</v>
      </c>
      <c r="O119">
        <f t="shared" si="19"/>
        <v>76.68373068453224</v>
      </c>
      <c r="P119" s="10">
        <f t="shared" si="20"/>
        <v>0.0033990980914353486</v>
      </c>
      <c r="Q119" s="10" t="str">
        <f t="shared" si="23"/>
        <v>no</v>
      </c>
      <c r="R119" s="10" t="str">
        <f t="shared" si="21"/>
        <v>yes</v>
      </c>
    </row>
    <row r="120" spans="13:18" ht="12.75">
      <c r="M120" s="10">
        <f t="shared" si="24"/>
        <v>33.12000000000015</v>
      </c>
      <c r="N120">
        <f t="shared" si="18"/>
        <v>76.8432023216873</v>
      </c>
      <c r="O120">
        <f t="shared" si="19"/>
        <v>76.8432023216873</v>
      </c>
      <c r="P120" s="10">
        <f t="shared" si="20"/>
        <v>0</v>
      </c>
      <c r="Q120" s="10" t="str">
        <f t="shared" si="23"/>
        <v>yes</v>
      </c>
      <c r="R120" s="10" t="str">
        <f t="shared" si="21"/>
        <v>no</v>
      </c>
    </row>
    <row r="121" spans="13:18" ht="12.75">
      <c r="M121" s="10">
        <f t="shared" si="24"/>
        <v>33.14000000000015</v>
      </c>
      <c r="N121">
        <f t="shared" si="18"/>
        <v>77.0060730569338</v>
      </c>
      <c r="O121">
        <f t="shared" si="19"/>
        <v>77.00607305693379</v>
      </c>
      <c r="P121" s="10">
        <f t="shared" si="20"/>
        <v>0</v>
      </c>
      <c r="Q121" s="10">
        <f t="shared" si="23"/>
      </c>
      <c r="R121" s="10" t="str">
        <f t="shared" si="21"/>
        <v>no</v>
      </c>
    </row>
    <row r="122" spans="13:18" ht="12.75">
      <c r="M122" s="10">
        <f t="shared" si="24"/>
        <v>33.16000000000015</v>
      </c>
      <c r="N122">
        <f t="shared" si="18"/>
        <v>77.1689437921803</v>
      </c>
      <c r="O122">
        <f t="shared" si="19"/>
        <v>77.1689437921803</v>
      </c>
      <c r="P122" s="10">
        <f t="shared" si="20"/>
        <v>0</v>
      </c>
      <c r="Q122" s="10">
        <f t="shared" si="23"/>
      </c>
      <c r="R122" s="10" t="str">
        <f t="shared" si="21"/>
        <v>no</v>
      </c>
    </row>
    <row r="123" spans="13:18" ht="12.75">
      <c r="M123" s="10">
        <f t="shared" si="24"/>
        <v>33.180000000000156</v>
      </c>
      <c r="N123">
        <f t="shared" si="18"/>
        <v>77.33181452742679</v>
      </c>
      <c r="O123">
        <f t="shared" si="19"/>
        <v>77.33181452742677</v>
      </c>
      <c r="P123" s="10">
        <f t="shared" si="20"/>
        <v>0</v>
      </c>
      <c r="Q123" s="10">
        <f t="shared" si="23"/>
      </c>
      <c r="R123" s="10" t="str">
        <f t="shared" si="21"/>
        <v>no</v>
      </c>
    </row>
    <row r="124" spans="13:18" ht="12.75">
      <c r="M124" s="10">
        <f t="shared" si="24"/>
        <v>33.20000000000016</v>
      </c>
      <c r="N124">
        <f t="shared" si="18"/>
        <v>77.49468526267333</v>
      </c>
      <c r="O124">
        <f t="shared" si="19"/>
        <v>77.49468526267329</v>
      </c>
      <c r="P124" s="10">
        <f t="shared" si="20"/>
        <v>0</v>
      </c>
      <c r="Q124" s="10">
        <f t="shared" si="23"/>
      </c>
      <c r="R124" s="10" t="str">
        <f t="shared" si="21"/>
        <v>no</v>
      </c>
    </row>
    <row r="125" spans="13:18" ht="12.75">
      <c r="M125" s="10">
        <f t="shared" si="24"/>
        <v>33.22000000000016</v>
      </c>
      <c r="N125">
        <f t="shared" si="18"/>
        <v>77.65755599791979</v>
      </c>
      <c r="O125">
        <f t="shared" si="19"/>
        <v>77.65755599791981</v>
      </c>
      <c r="P125" s="10">
        <f t="shared" si="20"/>
        <v>0</v>
      </c>
      <c r="Q125" s="10">
        <f t="shared" si="23"/>
      </c>
      <c r="R125" s="10" t="str">
        <f t="shared" si="21"/>
        <v>no</v>
      </c>
    </row>
    <row r="126" spans="13:18" ht="12.75">
      <c r="M126" s="10">
        <f t="shared" si="24"/>
        <v>33.240000000000165</v>
      </c>
      <c r="N126">
        <f t="shared" si="18"/>
        <v>77.82042673316629</v>
      </c>
      <c r="O126">
        <f t="shared" si="19"/>
        <v>77.82042673316627</v>
      </c>
      <c r="P126" s="10">
        <f t="shared" si="20"/>
        <v>0</v>
      </c>
      <c r="Q126" s="10">
        <f t="shared" si="23"/>
      </c>
      <c r="R126" s="10" t="str">
        <f t="shared" si="21"/>
        <v>no</v>
      </c>
    </row>
    <row r="127" spans="13:18" ht="12.75">
      <c r="M127" s="10">
        <f t="shared" si="24"/>
        <v>33.26000000000017</v>
      </c>
      <c r="N127">
        <f t="shared" si="18"/>
        <v>77.98329746841279</v>
      </c>
      <c r="O127">
        <f t="shared" si="19"/>
        <v>77.98329746841279</v>
      </c>
      <c r="P127" s="10">
        <f t="shared" si="20"/>
        <v>0</v>
      </c>
      <c r="Q127" s="10">
        <f t="shared" si="23"/>
      </c>
      <c r="R127" s="10" t="str">
        <f t="shared" si="21"/>
        <v>no</v>
      </c>
    </row>
    <row r="128" spans="13:18" ht="12.75">
      <c r="M128" s="10">
        <f t="shared" si="24"/>
        <v>33.28000000000017</v>
      </c>
      <c r="N128">
        <f t="shared" si="18"/>
        <v>78.14616820365927</v>
      </c>
      <c r="O128">
        <f t="shared" si="19"/>
        <v>78.14616820365927</v>
      </c>
      <c r="P128" s="10">
        <f t="shared" si="20"/>
        <v>0</v>
      </c>
      <c r="Q128" s="10">
        <f t="shared" si="23"/>
      </c>
      <c r="R128" s="10" t="str">
        <f t="shared" si="21"/>
        <v>no</v>
      </c>
    </row>
    <row r="129" spans="13:18" ht="12.75">
      <c r="M129" s="10">
        <f t="shared" si="24"/>
        <v>33.300000000000175</v>
      </c>
      <c r="N129">
        <f t="shared" si="18"/>
        <v>78.30903893890581</v>
      </c>
      <c r="O129">
        <f t="shared" si="19"/>
        <v>78.30903893890577</v>
      </c>
      <c r="P129" s="10">
        <f t="shared" si="20"/>
        <v>0</v>
      </c>
      <c r="Q129" s="10">
        <f t="shared" si="23"/>
      </c>
      <c r="R129" s="10" t="str">
        <f t="shared" si="21"/>
        <v>no</v>
      </c>
    </row>
    <row r="130" spans="13:18" ht="12.75">
      <c r="M130" s="10">
        <f t="shared" si="24"/>
        <v>33.32000000000018</v>
      </c>
      <c r="N130">
        <f t="shared" si="18"/>
        <v>78.47190967415227</v>
      </c>
      <c r="O130">
        <f t="shared" si="19"/>
        <v>78.47190967415227</v>
      </c>
      <c r="P130" s="10">
        <f t="shared" si="20"/>
        <v>0</v>
      </c>
      <c r="Q130" s="10">
        <f t="shared" si="23"/>
      </c>
      <c r="R130" s="10" t="str">
        <f t="shared" si="21"/>
        <v>no</v>
      </c>
    </row>
    <row r="131" spans="13:18" ht="12.75">
      <c r="M131" s="10">
        <f t="shared" si="24"/>
        <v>33.34000000000018</v>
      </c>
      <c r="N131">
        <f t="shared" si="18"/>
        <v>78.63478040939877</v>
      </c>
      <c r="O131">
        <f t="shared" si="19"/>
        <v>78.63478040939877</v>
      </c>
      <c r="P131" s="10">
        <f t="shared" si="20"/>
        <v>0</v>
      </c>
      <c r="Q131" s="10">
        <f t="shared" si="23"/>
      </c>
      <c r="R131" s="10" t="str">
        <f t="shared" si="21"/>
        <v>no</v>
      </c>
    </row>
    <row r="132" spans="13:18" ht="12.75">
      <c r="M132" s="10">
        <f t="shared" si="24"/>
        <v>33.360000000000184</v>
      </c>
      <c r="N132">
        <f t="shared" si="18"/>
        <v>78.79765114464527</v>
      </c>
      <c r="O132">
        <f t="shared" si="19"/>
        <v>78.7976511446453</v>
      </c>
      <c r="P132" s="10">
        <f t="shared" si="20"/>
        <v>0</v>
      </c>
      <c r="Q132" s="10">
        <f t="shared" si="23"/>
      </c>
      <c r="R132" s="10" t="str">
        <f t="shared" si="21"/>
        <v>no</v>
      </c>
    </row>
    <row r="133" spans="13:18" ht="12.75">
      <c r="M133" s="10">
        <f t="shared" si="24"/>
        <v>33.38000000000019</v>
      </c>
      <c r="N133">
        <f aca="true" t="shared" si="25" ref="N133:N196">-Inv+((FC0/100)*BjStAmericanCall(q_*B_*M133*(EXP(-(delta/100)*2)),Idp,years+(months/12),r_/100,delta/100,sigma/100))</f>
        <v>78.96052187989176</v>
      </c>
      <c r="O133">
        <f aca="true" t="shared" si="26" ref="O133:O168">EXP(-(r_/100)*tR_)*(((sinal_pos/100)*(IF(years+(months/12)&lt;0,0,IF(AND(FC_pos*((q_*B_*M133*(EXP(-(delta/100)*2)))-Idp)&lt;Inv,years+(months/12)=0),0,BjStAmericanCall(FC_pos*q_*B_*M133*(EXP(-(delta/100)*2)),Inv+(FC_pos*Idp),years+(months/12),r_/100,delta/100,sigma/100)))))+((1-(sinal_pos/100))*IF(years+(months/12)&lt;0,0,IF(AND(FC_neg*((q_*B_*M133*(EXP(-(delta/100)*2)))-Idp)&lt;Inv,years+(months/12)=0),0,BjStAmericanCall(FC_neg*q_*B_*M133*(EXP(-(delta/100)*2)),Inv+(FC_neg*Idp),years+(months/12),r_/100,delta/100,sigma/100)))))</f>
        <v>78.96052187989176</v>
      </c>
      <c r="P133" s="10">
        <f aca="true" t="shared" si="27" ref="P133:P168">O133-N133</f>
        <v>0</v>
      </c>
      <c r="Q133" s="10">
        <f t="shared" si="23"/>
      </c>
      <c r="R133" s="10" t="str">
        <f aca="true" t="shared" si="28" ref="R133:R196">IF(AND(Q133="no",Q134="yes"),"yes","no")</f>
        <v>no</v>
      </c>
    </row>
    <row r="134" spans="13:18" ht="12.75">
      <c r="M134" s="10">
        <f t="shared" si="24"/>
        <v>33.40000000000019</v>
      </c>
      <c r="N134">
        <f t="shared" si="25"/>
        <v>79.1233926151383</v>
      </c>
      <c r="O134">
        <f t="shared" si="26"/>
        <v>79.12339261513826</v>
      </c>
      <c r="P134" s="10">
        <f t="shared" si="27"/>
        <v>0</v>
      </c>
      <c r="Q134" s="10">
        <f aca="true" t="shared" si="29" ref="Q134:Q168">IF(AND(Q133="no",P134&lt;=0),"yes",IF(AND(Q133="no",P134&gt;0),"no",""))</f>
      </c>
      <c r="R134" s="10" t="str">
        <f t="shared" si="28"/>
        <v>no</v>
      </c>
    </row>
    <row r="135" spans="13:18" ht="12.75">
      <c r="M135" s="10">
        <f t="shared" si="24"/>
        <v>33.42000000000019</v>
      </c>
      <c r="N135">
        <f t="shared" si="25"/>
        <v>79.28626335038476</v>
      </c>
      <c r="O135">
        <f t="shared" si="26"/>
        <v>79.28626335038476</v>
      </c>
      <c r="P135" s="10">
        <f t="shared" si="27"/>
        <v>0</v>
      </c>
      <c r="Q135" s="10">
        <f t="shared" si="29"/>
      </c>
      <c r="R135" s="10" t="str">
        <f t="shared" si="28"/>
        <v>no</v>
      </c>
    </row>
    <row r="136" spans="13:18" ht="12.75">
      <c r="M136" s="10">
        <f t="shared" si="24"/>
        <v>33.4400000000002</v>
      </c>
      <c r="N136">
        <f t="shared" si="25"/>
        <v>79.44913408563126</v>
      </c>
      <c r="O136">
        <f t="shared" si="26"/>
        <v>79.44913408563127</v>
      </c>
      <c r="P136" s="10">
        <f t="shared" si="27"/>
        <v>0</v>
      </c>
      <c r="Q136" s="10">
        <f t="shared" si="29"/>
      </c>
      <c r="R136" s="10" t="str">
        <f t="shared" si="28"/>
        <v>no</v>
      </c>
    </row>
    <row r="137" spans="13:18" ht="12.75">
      <c r="M137" s="10">
        <f t="shared" si="24"/>
        <v>33.4600000000002</v>
      </c>
      <c r="N137">
        <f t="shared" si="25"/>
        <v>79.61200482087776</v>
      </c>
      <c r="O137">
        <f t="shared" si="26"/>
        <v>79.61200482087777</v>
      </c>
      <c r="P137" s="10">
        <f t="shared" si="27"/>
        <v>0</v>
      </c>
      <c r="Q137" s="10">
        <f t="shared" si="29"/>
      </c>
      <c r="R137" s="10" t="str">
        <f t="shared" si="28"/>
        <v>no</v>
      </c>
    </row>
    <row r="138" spans="13:18" ht="12.75">
      <c r="M138" s="10">
        <f t="shared" si="24"/>
        <v>33.4800000000002</v>
      </c>
      <c r="N138">
        <f t="shared" si="25"/>
        <v>79.7748755561243</v>
      </c>
      <c r="O138">
        <f t="shared" si="26"/>
        <v>79.77487555612424</v>
      </c>
      <c r="P138" s="10">
        <f t="shared" si="27"/>
        <v>0</v>
      </c>
      <c r="Q138" s="10">
        <f t="shared" si="29"/>
      </c>
      <c r="R138" s="10" t="str">
        <f t="shared" si="28"/>
        <v>no</v>
      </c>
    </row>
    <row r="139" spans="13:18" ht="12.75">
      <c r="M139" s="10">
        <f t="shared" si="24"/>
        <v>33.500000000000206</v>
      </c>
      <c r="N139">
        <f t="shared" si="25"/>
        <v>79.93774629137079</v>
      </c>
      <c r="O139">
        <f t="shared" si="26"/>
        <v>79.93774629137074</v>
      </c>
      <c r="P139" s="10">
        <f t="shared" si="27"/>
        <v>0</v>
      </c>
      <c r="Q139" s="10">
        <f t="shared" si="29"/>
      </c>
      <c r="R139" s="10" t="str">
        <f t="shared" si="28"/>
        <v>no</v>
      </c>
    </row>
    <row r="140" spans="13:18" ht="12.75">
      <c r="M140" s="10">
        <f aca="true" t="shared" si="30" ref="M140:M168">M139+deltaP_S</f>
        <v>33.52000000000021</v>
      </c>
      <c r="N140">
        <f t="shared" si="25"/>
        <v>80.10061702661724</v>
      </c>
      <c r="O140">
        <f t="shared" si="26"/>
        <v>80.10061702661727</v>
      </c>
      <c r="P140" s="10">
        <f t="shared" si="27"/>
        <v>0</v>
      </c>
      <c r="Q140" s="10">
        <f t="shared" si="29"/>
      </c>
      <c r="R140" s="10" t="str">
        <f t="shared" si="28"/>
        <v>no</v>
      </c>
    </row>
    <row r="141" spans="13:18" ht="12.75">
      <c r="M141" s="10">
        <f t="shared" si="30"/>
        <v>33.54000000000021</v>
      </c>
      <c r="N141">
        <f t="shared" si="25"/>
        <v>80.26348776186374</v>
      </c>
      <c r="O141">
        <f t="shared" si="26"/>
        <v>80.26348776186373</v>
      </c>
      <c r="P141" s="10">
        <f t="shared" si="27"/>
        <v>0</v>
      </c>
      <c r="Q141" s="10">
        <f t="shared" si="29"/>
      </c>
      <c r="R141" s="10" t="str">
        <f t="shared" si="28"/>
        <v>no</v>
      </c>
    </row>
    <row r="142" spans="13:18" ht="12.75">
      <c r="M142" s="10">
        <f t="shared" si="30"/>
        <v>33.560000000000215</v>
      </c>
      <c r="N142">
        <f t="shared" si="25"/>
        <v>80.42635849711024</v>
      </c>
      <c r="O142">
        <f t="shared" si="26"/>
        <v>80.42635849711026</v>
      </c>
      <c r="P142" s="10">
        <f t="shared" si="27"/>
        <v>0</v>
      </c>
      <c r="Q142" s="10">
        <f t="shared" si="29"/>
      </c>
      <c r="R142" s="10" t="str">
        <f t="shared" si="28"/>
        <v>no</v>
      </c>
    </row>
    <row r="143" spans="13:18" ht="12.75">
      <c r="M143" s="10">
        <f t="shared" si="30"/>
        <v>33.58000000000022</v>
      </c>
      <c r="N143">
        <f t="shared" si="25"/>
        <v>80.58922923235679</v>
      </c>
      <c r="O143">
        <f t="shared" si="26"/>
        <v>80.58922923235673</v>
      </c>
      <c r="P143" s="10">
        <f t="shared" si="27"/>
        <v>0</v>
      </c>
      <c r="Q143" s="10">
        <f t="shared" si="29"/>
      </c>
      <c r="R143" s="10" t="str">
        <f t="shared" si="28"/>
        <v>no</v>
      </c>
    </row>
    <row r="144" spans="13:18" ht="12.75">
      <c r="M144" s="10">
        <f t="shared" si="30"/>
        <v>33.60000000000022</v>
      </c>
      <c r="N144">
        <f t="shared" si="25"/>
        <v>80.75209996760327</v>
      </c>
      <c r="O144">
        <f t="shared" si="26"/>
        <v>80.75209996760326</v>
      </c>
      <c r="P144" s="10">
        <f t="shared" si="27"/>
        <v>0</v>
      </c>
      <c r="Q144" s="10">
        <f t="shared" si="29"/>
      </c>
      <c r="R144" s="10" t="str">
        <f t="shared" si="28"/>
        <v>no</v>
      </c>
    </row>
    <row r="145" spans="13:18" ht="12.75">
      <c r="M145" s="10">
        <f t="shared" si="30"/>
        <v>33.620000000000225</v>
      </c>
      <c r="N145">
        <f t="shared" si="25"/>
        <v>80.91497070284973</v>
      </c>
      <c r="O145">
        <f t="shared" si="26"/>
        <v>80.91497070284973</v>
      </c>
      <c r="P145" s="10">
        <f t="shared" si="27"/>
        <v>0</v>
      </c>
      <c r="Q145" s="10">
        <f t="shared" si="29"/>
      </c>
      <c r="R145" s="10" t="str">
        <f t="shared" si="28"/>
        <v>no</v>
      </c>
    </row>
    <row r="146" spans="13:18" ht="12.75">
      <c r="M146" s="10">
        <f t="shared" si="30"/>
        <v>33.64000000000023</v>
      </c>
      <c r="N146">
        <f t="shared" si="25"/>
        <v>81.07784143809623</v>
      </c>
      <c r="O146">
        <f t="shared" si="26"/>
        <v>81.07784143809621</v>
      </c>
      <c r="P146" s="10">
        <f t="shared" si="27"/>
        <v>0</v>
      </c>
      <c r="Q146" s="10">
        <f t="shared" si="29"/>
      </c>
      <c r="R146" s="10" t="str">
        <f t="shared" si="28"/>
        <v>no</v>
      </c>
    </row>
    <row r="147" spans="13:18" ht="12.75">
      <c r="M147" s="10">
        <f t="shared" si="30"/>
        <v>33.66000000000023</v>
      </c>
      <c r="N147">
        <f t="shared" si="25"/>
        <v>81.24071217334277</v>
      </c>
      <c r="O147">
        <f t="shared" si="26"/>
        <v>81.24071217334276</v>
      </c>
      <c r="P147" s="10">
        <f t="shared" si="27"/>
        <v>0</v>
      </c>
      <c r="Q147" s="10">
        <f t="shared" si="29"/>
      </c>
      <c r="R147" s="10" t="str">
        <f t="shared" si="28"/>
        <v>no</v>
      </c>
    </row>
    <row r="148" spans="13:18" ht="12.75">
      <c r="M148" s="10">
        <f t="shared" si="30"/>
        <v>33.680000000000234</v>
      </c>
      <c r="N148">
        <f t="shared" si="25"/>
        <v>81.40358290858927</v>
      </c>
      <c r="O148">
        <f t="shared" si="26"/>
        <v>81.40358290858924</v>
      </c>
      <c r="P148" s="10">
        <f t="shared" si="27"/>
        <v>0</v>
      </c>
      <c r="Q148" s="10">
        <f t="shared" si="29"/>
      </c>
      <c r="R148" s="10" t="str">
        <f t="shared" si="28"/>
        <v>no</v>
      </c>
    </row>
    <row r="149" spans="13:18" ht="12.75">
      <c r="M149" s="10">
        <f t="shared" si="30"/>
        <v>33.70000000000024</v>
      </c>
      <c r="N149">
        <f t="shared" si="25"/>
        <v>81.56645364383576</v>
      </c>
      <c r="O149">
        <f t="shared" si="26"/>
        <v>81.56645364383573</v>
      </c>
      <c r="P149" s="10">
        <f t="shared" si="27"/>
        <v>0</v>
      </c>
      <c r="Q149" s="10">
        <f t="shared" si="29"/>
      </c>
      <c r="R149" s="10" t="str">
        <f t="shared" si="28"/>
        <v>no</v>
      </c>
    </row>
    <row r="150" spans="13:18" ht="12.75">
      <c r="M150" s="10">
        <f t="shared" si="30"/>
        <v>33.72000000000024</v>
      </c>
      <c r="N150">
        <f t="shared" si="25"/>
        <v>81.72932437908221</v>
      </c>
      <c r="O150">
        <f t="shared" si="26"/>
        <v>81.72932437908224</v>
      </c>
      <c r="P150" s="10">
        <f t="shared" si="27"/>
        <v>0</v>
      </c>
      <c r="Q150" s="10">
        <f t="shared" si="29"/>
      </c>
      <c r="R150" s="10" t="str">
        <f t="shared" si="28"/>
        <v>no</v>
      </c>
    </row>
    <row r="151" spans="13:18" ht="12.75">
      <c r="M151" s="10">
        <f t="shared" si="30"/>
        <v>33.740000000000244</v>
      </c>
      <c r="N151">
        <f t="shared" si="25"/>
        <v>81.89219511432871</v>
      </c>
      <c r="O151">
        <f t="shared" si="26"/>
        <v>81.89219511432873</v>
      </c>
      <c r="P151" s="10">
        <f t="shared" si="27"/>
        <v>0</v>
      </c>
      <c r="Q151" s="10">
        <f t="shared" si="29"/>
      </c>
      <c r="R151" s="10" t="str">
        <f t="shared" si="28"/>
        <v>no</v>
      </c>
    </row>
    <row r="152" spans="13:18" ht="12.75">
      <c r="M152" s="10">
        <f t="shared" si="30"/>
        <v>33.76000000000025</v>
      </c>
      <c r="N152">
        <f t="shared" si="25"/>
        <v>82.05506584957526</v>
      </c>
      <c r="O152">
        <f t="shared" si="26"/>
        <v>82.05506584957526</v>
      </c>
      <c r="P152" s="10">
        <f t="shared" si="27"/>
        <v>0</v>
      </c>
      <c r="Q152" s="10">
        <f t="shared" si="29"/>
      </c>
      <c r="R152" s="10" t="str">
        <f t="shared" si="28"/>
        <v>no</v>
      </c>
    </row>
    <row r="153" spans="13:18" ht="12.75">
      <c r="M153" s="10">
        <f t="shared" si="30"/>
        <v>33.78000000000025</v>
      </c>
      <c r="N153">
        <f t="shared" si="25"/>
        <v>82.21793658482176</v>
      </c>
      <c r="O153">
        <f t="shared" si="26"/>
        <v>82.21793658482176</v>
      </c>
      <c r="P153" s="10">
        <f t="shared" si="27"/>
        <v>0</v>
      </c>
      <c r="Q153" s="10">
        <f t="shared" si="29"/>
      </c>
      <c r="R153" s="10" t="str">
        <f t="shared" si="28"/>
        <v>no</v>
      </c>
    </row>
    <row r="154" spans="13:18" ht="12.75">
      <c r="M154" s="10">
        <f t="shared" si="30"/>
        <v>33.80000000000025</v>
      </c>
      <c r="N154">
        <f t="shared" si="25"/>
        <v>82.38080732006824</v>
      </c>
      <c r="O154">
        <f t="shared" si="26"/>
        <v>82.38080732006824</v>
      </c>
      <c r="P154" s="10">
        <f t="shared" si="27"/>
        <v>0</v>
      </c>
      <c r="Q154" s="10">
        <f t="shared" si="29"/>
      </c>
      <c r="R154" s="10" t="str">
        <f t="shared" si="28"/>
        <v>no</v>
      </c>
    </row>
    <row r="155" spans="13:18" ht="12.75">
      <c r="M155" s="10">
        <f t="shared" si="30"/>
        <v>33.820000000000256</v>
      </c>
      <c r="N155">
        <f t="shared" si="25"/>
        <v>82.54367805531474</v>
      </c>
      <c r="O155">
        <f t="shared" si="26"/>
        <v>82.54367805531474</v>
      </c>
      <c r="P155" s="10">
        <f t="shared" si="27"/>
        <v>0</v>
      </c>
      <c r="Q155" s="10">
        <f t="shared" si="29"/>
      </c>
      <c r="R155" s="10" t="str">
        <f t="shared" si="28"/>
        <v>no</v>
      </c>
    </row>
    <row r="156" spans="13:18" ht="12.75">
      <c r="M156" s="10">
        <f t="shared" si="30"/>
        <v>33.84000000000026</v>
      </c>
      <c r="N156">
        <f t="shared" si="25"/>
        <v>82.7065487905612</v>
      </c>
      <c r="O156">
        <f t="shared" si="26"/>
        <v>82.70654879056124</v>
      </c>
      <c r="P156" s="10">
        <f t="shared" si="27"/>
        <v>0</v>
      </c>
      <c r="Q156" s="10">
        <f t="shared" si="29"/>
      </c>
      <c r="R156" s="10" t="str">
        <f t="shared" si="28"/>
        <v>no</v>
      </c>
    </row>
    <row r="157" spans="13:18" ht="12.75">
      <c r="M157" s="10">
        <f t="shared" si="30"/>
        <v>33.86000000000026</v>
      </c>
      <c r="N157">
        <f t="shared" si="25"/>
        <v>82.86941952580774</v>
      </c>
      <c r="O157">
        <f t="shared" si="26"/>
        <v>82.86941952580773</v>
      </c>
      <c r="P157" s="10">
        <f t="shared" si="27"/>
        <v>0</v>
      </c>
      <c r="Q157" s="10">
        <f t="shared" si="29"/>
      </c>
      <c r="R157" s="10" t="str">
        <f t="shared" si="28"/>
        <v>no</v>
      </c>
    </row>
    <row r="158" spans="13:18" ht="12.75">
      <c r="M158" s="10">
        <f t="shared" si="30"/>
        <v>33.880000000000265</v>
      </c>
      <c r="N158">
        <f t="shared" si="25"/>
        <v>83.03229026105424</v>
      </c>
      <c r="O158">
        <f t="shared" si="26"/>
        <v>83.03229026105421</v>
      </c>
      <c r="P158" s="10">
        <f t="shared" si="27"/>
        <v>0</v>
      </c>
      <c r="Q158" s="10">
        <f t="shared" si="29"/>
      </c>
      <c r="R158" s="10" t="str">
        <f t="shared" si="28"/>
        <v>no</v>
      </c>
    </row>
    <row r="159" spans="13:18" ht="12.75">
      <c r="M159" s="10">
        <f t="shared" si="30"/>
        <v>33.90000000000027</v>
      </c>
      <c r="N159">
        <f t="shared" si="25"/>
        <v>83.19516099630073</v>
      </c>
      <c r="O159">
        <f t="shared" si="26"/>
        <v>83.19516099630076</v>
      </c>
      <c r="P159" s="10">
        <f t="shared" si="27"/>
        <v>0</v>
      </c>
      <c r="Q159" s="10">
        <f t="shared" si="29"/>
      </c>
      <c r="R159" s="10" t="str">
        <f t="shared" si="28"/>
        <v>no</v>
      </c>
    </row>
    <row r="160" spans="13:18" ht="12.75">
      <c r="M160" s="10">
        <f t="shared" si="30"/>
        <v>33.92000000000027</v>
      </c>
      <c r="N160">
        <f t="shared" si="25"/>
        <v>83.35803173154723</v>
      </c>
      <c r="O160">
        <f t="shared" si="26"/>
        <v>83.35803173154724</v>
      </c>
      <c r="P160" s="10">
        <f t="shared" si="27"/>
        <v>0</v>
      </c>
      <c r="Q160" s="10">
        <f t="shared" si="29"/>
      </c>
      <c r="R160" s="10" t="str">
        <f t="shared" si="28"/>
        <v>no</v>
      </c>
    </row>
    <row r="161" spans="13:18" ht="12.75">
      <c r="M161" s="10">
        <f t="shared" si="30"/>
        <v>33.940000000000275</v>
      </c>
      <c r="N161">
        <f t="shared" si="25"/>
        <v>83.52090246679373</v>
      </c>
      <c r="O161">
        <f t="shared" si="26"/>
        <v>83.52090246679373</v>
      </c>
      <c r="P161" s="10">
        <f t="shared" si="27"/>
        <v>0</v>
      </c>
      <c r="Q161" s="10">
        <f t="shared" si="29"/>
      </c>
      <c r="R161" s="10" t="str">
        <f t="shared" si="28"/>
        <v>no</v>
      </c>
    </row>
    <row r="162" spans="13:18" ht="12.75">
      <c r="M162" s="10">
        <f t="shared" si="30"/>
        <v>33.96000000000028</v>
      </c>
      <c r="N162">
        <f t="shared" si="25"/>
        <v>83.68377320204023</v>
      </c>
      <c r="O162">
        <f t="shared" si="26"/>
        <v>83.68377320204021</v>
      </c>
      <c r="P162" s="10">
        <f t="shared" si="27"/>
        <v>0</v>
      </c>
      <c r="Q162" s="10">
        <f t="shared" si="29"/>
      </c>
      <c r="R162" s="10" t="str">
        <f t="shared" si="28"/>
        <v>no</v>
      </c>
    </row>
    <row r="163" spans="13:18" ht="12.75">
      <c r="M163" s="10">
        <f t="shared" si="30"/>
        <v>33.98000000000028</v>
      </c>
      <c r="N163">
        <f t="shared" si="25"/>
        <v>83.84664393728673</v>
      </c>
      <c r="O163">
        <f t="shared" si="26"/>
        <v>83.84664393728673</v>
      </c>
      <c r="P163" s="10">
        <f t="shared" si="27"/>
        <v>0</v>
      </c>
      <c r="Q163" s="10">
        <f t="shared" si="29"/>
      </c>
      <c r="R163" s="10" t="str">
        <f t="shared" si="28"/>
        <v>no</v>
      </c>
    </row>
    <row r="164" spans="13:18" ht="12.75">
      <c r="M164" s="10">
        <f t="shared" si="30"/>
        <v>34.000000000000284</v>
      </c>
      <c r="N164">
        <f t="shared" si="25"/>
        <v>84.00951467253321</v>
      </c>
      <c r="O164">
        <f t="shared" si="26"/>
        <v>84.00951467253324</v>
      </c>
      <c r="P164" s="10">
        <f t="shared" si="27"/>
        <v>0</v>
      </c>
      <c r="Q164" s="10">
        <f t="shared" si="29"/>
      </c>
      <c r="R164" s="10" t="str">
        <f t="shared" si="28"/>
        <v>no</v>
      </c>
    </row>
    <row r="165" spans="13:18" ht="12.75">
      <c r="M165" s="10">
        <f t="shared" si="30"/>
        <v>34.02000000000029</v>
      </c>
      <c r="N165">
        <f t="shared" si="25"/>
        <v>84.17238540777971</v>
      </c>
      <c r="O165">
        <f t="shared" si="26"/>
        <v>84.17238540777971</v>
      </c>
      <c r="P165" s="10">
        <f t="shared" si="27"/>
        <v>0</v>
      </c>
      <c r="Q165" s="10">
        <f t="shared" si="29"/>
      </c>
      <c r="R165" s="10" t="str">
        <f t="shared" si="28"/>
        <v>no</v>
      </c>
    </row>
    <row r="166" spans="13:18" ht="12.75">
      <c r="M166" s="10">
        <f t="shared" si="30"/>
        <v>34.04000000000029</v>
      </c>
      <c r="N166">
        <f t="shared" si="25"/>
        <v>84.33525614302621</v>
      </c>
      <c r="O166">
        <f t="shared" si="26"/>
        <v>84.33525614302621</v>
      </c>
      <c r="P166" s="10">
        <f t="shared" si="27"/>
        <v>0</v>
      </c>
      <c r="Q166" s="10">
        <f t="shared" si="29"/>
      </c>
      <c r="R166" s="10" t="str">
        <f t="shared" si="28"/>
        <v>no</v>
      </c>
    </row>
    <row r="167" spans="13:18" ht="12.75">
      <c r="M167" s="10">
        <f t="shared" si="30"/>
        <v>34.060000000000294</v>
      </c>
      <c r="N167">
        <f t="shared" si="25"/>
        <v>84.49812687827271</v>
      </c>
      <c r="O167">
        <f t="shared" si="26"/>
        <v>84.49812687827273</v>
      </c>
      <c r="P167" s="10">
        <f t="shared" si="27"/>
        <v>0</v>
      </c>
      <c r="Q167" s="10">
        <f t="shared" si="29"/>
      </c>
      <c r="R167" s="10" t="str">
        <f t="shared" si="28"/>
        <v>no</v>
      </c>
    </row>
    <row r="168" spans="13:18" ht="12.75">
      <c r="M168" s="10">
        <f t="shared" si="30"/>
        <v>34.0800000000003</v>
      </c>
      <c r="N168">
        <f t="shared" si="25"/>
        <v>84.66099761351921</v>
      </c>
      <c r="O168">
        <f t="shared" si="26"/>
        <v>84.66099761351921</v>
      </c>
      <c r="P168" s="10">
        <f t="shared" si="27"/>
        <v>0</v>
      </c>
      <c r="Q168" s="10">
        <f t="shared" si="29"/>
      </c>
      <c r="R168" s="10" t="str">
        <f t="shared" si="28"/>
        <v>no</v>
      </c>
    </row>
    <row r="169" spans="13:18" ht="12.75">
      <c r="M169" s="10">
        <f aca="true" t="shared" si="31" ref="M169:M190">M168+deltaP_S</f>
        <v>34.1000000000003</v>
      </c>
      <c r="N169">
        <f t="shared" si="25"/>
        <v>84.8238683487657</v>
      </c>
      <c r="O169">
        <f aca="true" t="shared" si="32" ref="O169:O190">EXP(-(r_/100)*tR_)*(((sinal_pos/100)*(IF(years+(months/12)&lt;0,0,IF(AND(FC_pos*((q_*B_*M169*(EXP(-(delta/100)*2)))-Idp)&lt;Inv,years+(months/12)=0),0,BjStAmericanCall(FC_pos*q_*B_*M169*(EXP(-(delta/100)*2)),Inv+(FC_pos*Idp),years+(months/12),r_/100,delta/100,sigma/100)))))+((1-(sinal_pos/100))*IF(years+(months/12)&lt;0,0,IF(AND(FC_neg*((q_*B_*M169*(EXP(-(delta/100)*2)))-Idp)&lt;Inv,years+(months/12)=0),0,BjStAmericanCall(FC_neg*q_*B_*M169*(EXP(-(delta/100)*2)),Inv+(FC_neg*Idp),years+(months/12),r_/100,delta/100,sigma/100)))))</f>
        <v>84.8238683487657</v>
      </c>
      <c r="P169" s="10">
        <f aca="true" t="shared" si="33" ref="P169:P190">O169-N169</f>
        <v>0</v>
      </c>
      <c r="Q169" s="10">
        <f aca="true" t="shared" si="34" ref="Q169:Q190">IF(AND(Q168="no",P169&lt;=0),"yes",IF(AND(Q168="no",P169&gt;0),"no",""))</f>
      </c>
      <c r="R169" s="10" t="str">
        <f t="shared" si="28"/>
        <v>no</v>
      </c>
    </row>
    <row r="170" spans="13:18" ht="12.75">
      <c r="M170" s="10">
        <f t="shared" si="31"/>
        <v>34.1200000000003</v>
      </c>
      <c r="N170">
        <f t="shared" si="25"/>
        <v>84.98673908401224</v>
      </c>
      <c r="O170">
        <f t="shared" si="32"/>
        <v>84.98673908401221</v>
      </c>
      <c r="P170" s="10">
        <f t="shared" si="33"/>
        <v>0</v>
      </c>
      <c r="Q170" s="10">
        <f t="shared" si="34"/>
      </c>
      <c r="R170" s="10" t="str">
        <f t="shared" si="28"/>
        <v>no</v>
      </c>
    </row>
    <row r="171" spans="13:18" ht="12.75">
      <c r="M171" s="10">
        <f t="shared" si="31"/>
        <v>34.140000000000306</v>
      </c>
      <c r="N171">
        <f t="shared" si="25"/>
        <v>85.1496098192587</v>
      </c>
      <c r="O171">
        <f t="shared" si="32"/>
        <v>85.14960981925873</v>
      </c>
      <c r="P171" s="10">
        <f t="shared" si="33"/>
        <v>0</v>
      </c>
      <c r="Q171" s="10">
        <f t="shared" si="34"/>
      </c>
      <c r="R171" s="10" t="str">
        <f t="shared" si="28"/>
        <v>no</v>
      </c>
    </row>
    <row r="172" spans="13:18" ht="12.75">
      <c r="M172" s="10">
        <f t="shared" si="31"/>
        <v>34.16000000000031</v>
      </c>
      <c r="N172">
        <f t="shared" si="25"/>
        <v>85.3124805545052</v>
      </c>
      <c r="O172">
        <f t="shared" si="32"/>
        <v>85.31248055450521</v>
      </c>
      <c r="P172" s="10">
        <f t="shared" si="33"/>
        <v>0</v>
      </c>
      <c r="Q172" s="10">
        <f t="shared" si="34"/>
      </c>
      <c r="R172" s="10" t="str">
        <f t="shared" si="28"/>
        <v>no</v>
      </c>
    </row>
    <row r="173" spans="13:18" ht="12.75">
      <c r="M173" s="10">
        <f t="shared" si="31"/>
        <v>34.18000000000031</v>
      </c>
      <c r="N173">
        <f t="shared" si="25"/>
        <v>85.4753512897517</v>
      </c>
      <c r="O173">
        <f t="shared" si="32"/>
        <v>85.4753512897517</v>
      </c>
      <c r="P173" s="10">
        <f t="shared" si="33"/>
        <v>0</v>
      </c>
      <c r="Q173" s="10">
        <f t="shared" si="34"/>
      </c>
      <c r="R173" s="10" t="str">
        <f t="shared" si="28"/>
        <v>no</v>
      </c>
    </row>
    <row r="174" spans="13:18" ht="12.75">
      <c r="M174" s="10">
        <f t="shared" si="31"/>
        <v>34.200000000000315</v>
      </c>
      <c r="N174">
        <f t="shared" si="25"/>
        <v>85.63822202499819</v>
      </c>
      <c r="O174">
        <f t="shared" si="32"/>
        <v>85.63822202499821</v>
      </c>
      <c r="P174" s="10">
        <f t="shared" si="33"/>
        <v>0</v>
      </c>
      <c r="Q174" s="10">
        <f t="shared" si="34"/>
      </c>
      <c r="R174" s="10" t="str">
        <f t="shared" si="28"/>
        <v>no</v>
      </c>
    </row>
    <row r="175" spans="13:18" ht="12.75">
      <c r="M175" s="10">
        <f t="shared" si="31"/>
        <v>34.22000000000032</v>
      </c>
      <c r="N175">
        <f t="shared" si="25"/>
        <v>85.80109276024473</v>
      </c>
      <c r="O175">
        <f t="shared" si="32"/>
        <v>85.8010927602447</v>
      </c>
      <c r="P175" s="10">
        <f t="shared" si="33"/>
        <v>0</v>
      </c>
      <c r="Q175" s="10">
        <f t="shared" si="34"/>
      </c>
      <c r="R175" s="10" t="str">
        <f t="shared" si="28"/>
        <v>no</v>
      </c>
    </row>
    <row r="176" spans="13:18" ht="12.75">
      <c r="M176" s="10">
        <f t="shared" si="31"/>
        <v>34.24000000000032</v>
      </c>
      <c r="N176">
        <f t="shared" si="25"/>
        <v>85.96396349549119</v>
      </c>
      <c r="O176">
        <f t="shared" si="32"/>
        <v>85.96396349549121</v>
      </c>
      <c r="P176" s="10">
        <f t="shared" si="33"/>
        <v>0</v>
      </c>
      <c r="Q176" s="10">
        <f t="shared" si="34"/>
      </c>
      <c r="R176" s="10" t="str">
        <f t="shared" si="28"/>
        <v>no</v>
      </c>
    </row>
    <row r="177" spans="13:18" ht="12.75">
      <c r="M177" s="10">
        <f t="shared" si="31"/>
        <v>34.260000000000325</v>
      </c>
      <c r="N177">
        <f t="shared" si="25"/>
        <v>86.12683423073769</v>
      </c>
      <c r="O177">
        <f t="shared" si="32"/>
        <v>86.12683423073767</v>
      </c>
      <c r="P177" s="10">
        <f t="shared" si="33"/>
        <v>0</v>
      </c>
      <c r="Q177" s="10">
        <f t="shared" si="34"/>
      </c>
      <c r="R177" s="10" t="str">
        <f t="shared" si="28"/>
        <v>no</v>
      </c>
    </row>
    <row r="178" spans="13:18" ht="12.75">
      <c r="M178" s="10">
        <f t="shared" si="31"/>
        <v>34.28000000000033</v>
      </c>
      <c r="N178">
        <f t="shared" si="25"/>
        <v>86.28970496598419</v>
      </c>
      <c r="O178">
        <f t="shared" si="32"/>
        <v>86.2897049659842</v>
      </c>
      <c r="P178" s="10">
        <f t="shared" si="33"/>
        <v>0</v>
      </c>
      <c r="Q178" s="10">
        <f t="shared" si="34"/>
      </c>
      <c r="R178" s="10" t="str">
        <f t="shared" si="28"/>
        <v>no</v>
      </c>
    </row>
    <row r="179" spans="13:18" ht="12.75">
      <c r="M179" s="10">
        <f t="shared" si="31"/>
        <v>34.30000000000033</v>
      </c>
      <c r="N179">
        <f t="shared" si="25"/>
        <v>86.45257570123073</v>
      </c>
      <c r="O179">
        <f t="shared" si="32"/>
        <v>86.4525757012307</v>
      </c>
      <c r="P179" s="10">
        <f t="shared" si="33"/>
        <v>0</v>
      </c>
      <c r="Q179" s="10">
        <f t="shared" si="34"/>
      </c>
      <c r="R179" s="10" t="str">
        <f t="shared" si="28"/>
        <v>no</v>
      </c>
    </row>
    <row r="180" spans="13:18" ht="12.75">
      <c r="M180" s="10">
        <f t="shared" si="31"/>
        <v>34.320000000000334</v>
      </c>
      <c r="N180">
        <f t="shared" si="25"/>
        <v>86.61544643647721</v>
      </c>
      <c r="O180">
        <f t="shared" si="32"/>
        <v>86.61544643647719</v>
      </c>
      <c r="P180" s="10">
        <f t="shared" si="33"/>
        <v>0</v>
      </c>
      <c r="Q180" s="10">
        <f t="shared" si="34"/>
      </c>
      <c r="R180" s="10" t="str">
        <f t="shared" si="28"/>
        <v>no</v>
      </c>
    </row>
    <row r="181" spans="13:18" ht="12.75">
      <c r="M181" s="10">
        <f t="shared" si="31"/>
        <v>34.34000000000034</v>
      </c>
      <c r="N181">
        <f t="shared" si="25"/>
        <v>86.77831717172367</v>
      </c>
      <c r="O181">
        <f t="shared" si="32"/>
        <v>86.7783171717237</v>
      </c>
      <c r="P181" s="10">
        <f t="shared" si="33"/>
        <v>0</v>
      </c>
      <c r="Q181" s="10">
        <f t="shared" si="34"/>
      </c>
      <c r="R181" s="10" t="str">
        <f t="shared" si="28"/>
        <v>no</v>
      </c>
    </row>
    <row r="182" spans="13:18" ht="12.75">
      <c r="M182" s="10">
        <f t="shared" si="31"/>
        <v>34.36000000000034</v>
      </c>
      <c r="N182">
        <f t="shared" si="25"/>
        <v>86.94118790697017</v>
      </c>
      <c r="O182">
        <f t="shared" si="32"/>
        <v>86.94118790697019</v>
      </c>
      <c r="P182" s="10">
        <f t="shared" si="33"/>
        <v>0</v>
      </c>
      <c r="Q182" s="10">
        <f t="shared" si="34"/>
      </c>
      <c r="R182" s="10" t="str">
        <f t="shared" si="28"/>
        <v>no</v>
      </c>
    </row>
    <row r="183" spans="13:18" ht="12.75">
      <c r="M183" s="10">
        <f t="shared" si="31"/>
        <v>34.380000000000344</v>
      </c>
      <c r="N183">
        <f t="shared" si="25"/>
        <v>87.10405864221667</v>
      </c>
      <c r="O183">
        <f t="shared" si="32"/>
        <v>87.10405864221669</v>
      </c>
      <c r="P183" s="10">
        <f t="shared" si="33"/>
        <v>0</v>
      </c>
      <c r="Q183" s="10">
        <f t="shared" si="34"/>
      </c>
      <c r="R183" s="10" t="str">
        <f t="shared" si="28"/>
        <v>no</v>
      </c>
    </row>
    <row r="184" spans="13:18" ht="12.75">
      <c r="M184" s="10">
        <f t="shared" si="31"/>
        <v>34.40000000000035</v>
      </c>
      <c r="N184">
        <f t="shared" si="25"/>
        <v>87.26692937746321</v>
      </c>
      <c r="O184">
        <f t="shared" si="32"/>
        <v>87.26692937746319</v>
      </c>
      <c r="P184" s="10">
        <f t="shared" si="33"/>
        <v>0</v>
      </c>
      <c r="Q184" s="10">
        <f t="shared" si="34"/>
      </c>
      <c r="R184" s="10" t="str">
        <f t="shared" si="28"/>
        <v>no</v>
      </c>
    </row>
    <row r="185" spans="13:18" ht="12.75">
      <c r="M185" s="10">
        <f t="shared" si="31"/>
        <v>34.42000000000035</v>
      </c>
      <c r="N185">
        <f t="shared" si="25"/>
        <v>87.4298001127097</v>
      </c>
      <c r="O185">
        <f t="shared" si="32"/>
        <v>87.42980011270966</v>
      </c>
      <c r="P185" s="10">
        <f t="shared" si="33"/>
        <v>0</v>
      </c>
      <c r="Q185" s="10">
        <f t="shared" si="34"/>
      </c>
      <c r="R185" s="10" t="str">
        <f t="shared" si="28"/>
        <v>no</v>
      </c>
    </row>
    <row r="186" spans="13:18" ht="12.75">
      <c r="M186" s="10">
        <f t="shared" si="31"/>
        <v>34.44000000000035</v>
      </c>
      <c r="N186">
        <f t="shared" si="25"/>
        <v>87.59267084795616</v>
      </c>
      <c r="O186">
        <f t="shared" si="32"/>
        <v>87.59267084795619</v>
      </c>
      <c r="P186" s="10">
        <f t="shared" si="33"/>
        <v>0</v>
      </c>
      <c r="Q186" s="10">
        <f t="shared" si="34"/>
      </c>
      <c r="R186" s="10" t="str">
        <f t="shared" si="28"/>
        <v>no</v>
      </c>
    </row>
    <row r="187" spans="13:18" ht="12.75">
      <c r="M187" s="10">
        <f t="shared" si="31"/>
        <v>34.460000000000356</v>
      </c>
      <c r="N187">
        <f t="shared" si="25"/>
        <v>87.75554158320266</v>
      </c>
      <c r="O187">
        <f t="shared" si="32"/>
        <v>87.75554158320267</v>
      </c>
      <c r="P187" s="10">
        <f t="shared" si="33"/>
        <v>0</v>
      </c>
      <c r="Q187" s="10">
        <f t="shared" si="34"/>
      </c>
      <c r="R187" s="10" t="str">
        <f t="shared" si="28"/>
        <v>no</v>
      </c>
    </row>
    <row r="188" spans="13:18" ht="12.75">
      <c r="M188" s="10">
        <f t="shared" si="31"/>
        <v>34.48000000000036</v>
      </c>
      <c r="N188">
        <f t="shared" si="25"/>
        <v>87.9184123184492</v>
      </c>
      <c r="O188">
        <f t="shared" si="32"/>
        <v>87.91841231844919</v>
      </c>
      <c r="P188" s="10">
        <f t="shared" si="33"/>
        <v>0</v>
      </c>
      <c r="Q188" s="10">
        <f t="shared" si="34"/>
      </c>
      <c r="R188" s="10" t="str">
        <f t="shared" si="28"/>
        <v>no</v>
      </c>
    </row>
    <row r="189" spans="13:18" ht="12.75">
      <c r="M189" s="10">
        <f t="shared" si="31"/>
        <v>34.50000000000036</v>
      </c>
      <c r="N189">
        <f t="shared" si="25"/>
        <v>88.0812830536957</v>
      </c>
      <c r="O189">
        <f t="shared" si="32"/>
        <v>88.0812830536957</v>
      </c>
      <c r="P189" s="10">
        <f t="shared" si="33"/>
        <v>0</v>
      </c>
      <c r="Q189" s="10">
        <f t="shared" si="34"/>
      </c>
      <c r="R189" s="10" t="str">
        <f t="shared" si="28"/>
        <v>no</v>
      </c>
    </row>
    <row r="190" spans="13:18" ht="12.75">
      <c r="M190" s="10">
        <f t="shared" si="31"/>
        <v>34.520000000000366</v>
      </c>
      <c r="N190">
        <f t="shared" si="25"/>
        <v>88.24415378894219</v>
      </c>
      <c r="O190">
        <f t="shared" si="32"/>
        <v>88.24415378894216</v>
      </c>
      <c r="P190" s="10">
        <f t="shared" si="33"/>
        <v>0</v>
      </c>
      <c r="Q190" s="10">
        <f t="shared" si="34"/>
      </c>
      <c r="R190" s="10" t="str">
        <f t="shared" si="28"/>
        <v>no</v>
      </c>
    </row>
    <row r="191" spans="13:18" ht="12.75">
      <c r="M191" s="10">
        <f aca="true" t="shared" si="35" ref="M191:M250">M190+deltaP_S</f>
        <v>34.54000000000037</v>
      </c>
      <c r="N191">
        <f t="shared" si="25"/>
        <v>88.40702452418864</v>
      </c>
      <c r="O191">
        <f aca="true" t="shared" si="36" ref="O191:O250">EXP(-(r_/100)*tR_)*(((sinal_pos/100)*(IF(years+(months/12)&lt;0,0,IF(AND(FC_pos*((q_*B_*M191*(EXP(-(delta/100)*2)))-Idp)&lt;Inv,years+(months/12)=0),0,BjStAmericanCall(FC_pos*q_*B_*M191*(EXP(-(delta/100)*2)),Inv+(FC_pos*Idp),years+(months/12),r_/100,delta/100,sigma/100)))))+((1-(sinal_pos/100))*IF(years+(months/12)&lt;0,0,IF(AND(FC_neg*((q_*B_*M191*(EXP(-(delta/100)*2)))-Idp)&lt;Inv,years+(months/12)=0),0,BjStAmericanCall(FC_neg*q_*B_*M191*(EXP(-(delta/100)*2)),Inv+(FC_neg*Idp),years+(months/12),r_/100,delta/100,sigma/100)))))</f>
        <v>88.40702452418867</v>
      </c>
      <c r="P191" s="10">
        <f aca="true" t="shared" si="37" ref="P191:P250">O191-N191</f>
        <v>0</v>
      </c>
      <c r="Q191" s="10">
        <f aca="true" t="shared" si="38" ref="Q191:Q250">IF(AND(Q190="no",P191&lt;=0),"yes",IF(AND(Q190="no",P191&gt;0),"no",""))</f>
      </c>
      <c r="R191" s="10" t="str">
        <f t="shared" si="28"/>
        <v>no</v>
      </c>
    </row>
    <row r="192" spans="13:18" ht="12.75">
      <c r="M192" s="10">
        <f t="shared" si="35"/>
        <v>34.56000000000037</v>
      </c>
      <c r="N192">
        <f t="shared" si="25"/>
        <v>88.56989525943514</v>
      </c>
      <c r="O192">
        <f t="shared" si="36"/>
        <v>88.56989525943514</v>
      </c>
      <c r="P192" s="10">
        <f t="shared" si="37"/>
        <v>0</v>
      </c>
      <c r="Q192" s="10">
        <f t="shared" si="38"/>
      </c>
      <c r="R192" s="10" t="str">
        <f t="shared" si="28"/>
        <v>no</v>
      </c>
    </row>
    <row r="193" spans="13:18" ht="12.75">
      <c r="M193" s="10">
        <f t="shared" si="35"/>
        <v>34.580000000000375</v>
      </c>
      <c r="N193">
        <f t="shared" si="25"/>
        <v>88.73276599468169</v>
      </c>
      <c r="O193">
        <f t="shared" si="36"/>
        <v>88.73276599468169</v>
      </c>
      <c r="P193" s="10">
        <f t="shared" si="37"/>
        <v>0</v>
      </c>
      <c r="Q193" s="10">
        <f t="shared" si="38"/>
      </c>
      <c r="R193" s="10" t="str">
        <f t="shared" si="28"/>
        <v>no</v>
      </c>
    </row>
    <row r="194" spans="13:18" ht="12.75">
      <c r="M194" s="10">
        <f t="shared" si="35"/>
        <v>34.60000000000038</v>
      </c>
      <c r="N194">
        <f t="shared" si="25"/>
        <v>88.89563672992819</v>
      </c>
      <c r="O194">
        <f t="shared" si="36"/>
        <v>88.89563672992819</v>
      </c>
      <c r="P194" s="10">
        <f t="shared" si="37"/>
        <v>0</v>
      </c>
      <c r="Q194" s="10">
        <f t="shared" si="38"/>
      </c>
      <c r="R194" s="10" t="str">
        <f t="shared" si="28"/>
        <v>no</v>
      </c>
    </row>
    <row r="195" spans="13:18" ht="12.75">
      <c r="M195" s="10">
        <f t="shared" si="35"/>
        <v>34.62000000000038</v>
      </c>
      <c r="N195">
        <f t="shared" si="25"/>
        <v>89.05850746517467</v>
      </c>
      <c r="O195">
        <f t="shared" si="36"/>
        <v>89.05850746517466</v>
      </c>
      <c r="P195" s="10">
        <f t="shared" si="37"/>
        <v>0</v>
      </c>
      <c r="Q195" s="10">
        <f t="shared" si="38"/>
      </c>
      <c r="R195" s="10" t="str">
        <f t="shared" si="28"/>
        <v>no</v>
      </c>
    </row>
    <row r="196" spans="13:18" ht="12.75">
      <c r="M196" s="10">
        <f t="shared" si="35"/>
        <v>34.640000000000384</v>
      </c>
      <c r="N196">
        <f t="shared" si="25"/>
        <v>89.22137820042113</v>
      </c>
      <c r="O196">
        <f t="shared" si="36"/>
        <v>89.22137820042116</v>
      </c>
      <c r="P196" s="10">
        <f t="shared" si="37"/>
        <v>0</v>
      </c>
      <c r="Q196" s="10">
        <f t="shared" si="38"/>
      </c>
      <c r="R196" s="10" t="str">
        <f t="shared" si="28"/>
        <v>no</v>
      </c>
    </row>
    <row r="197" spans="13:18" ht="12.75">
      <c r="M197" s="10">
        <f t="shared" si="35"/>
        <v>34.66000000000039</v>
      </c>
      <c r="N197">
        <f aca="true" t="shared" si="39" ref="N197:N260">-Inv+((FC0/100)*BjStAmericanCall(q_*B_*M197*(EXP(-(delta/100)*2)),Idp,years+(months/12),r_/100,delta/100,sigma/100))</f>
        <v>89.38424893566763</v>
      </c>
      <c r="O197">
        <f t="shared" si="36"/>
        <v>89.38424893566764</v>
      </c>
      <c r="P197" s="10">
        <f t="shared" si="37"/>
        <v>0</v>
      </c>
      <c r="Q197" s="10">
        <f t="shared" si="38"/>
      </c>
      <c r="R197" s="10" t="str">
        <f aca="true" t="shared" si="40" ref="R197:R260">IF(AND(Q197="no",Q198="yes"),"yes","no")</f>
        <v>no</v>
      </c>
    </row>
    <row r="198" spans="13:18" ht="12.75">
      <c r="M198" s="10">
        <f t="shared" si="35"/>
        <v>34.68000000000039</v>
      </c>
      <c r="N198">
        <f t="shared" si="39"/>
        <v>89.54711967091417</v>
      </c>
      <c r="O198">
        <f t="shared" si="36"/>
        <v>89.54711967091416</v>
      </c>
      <c r="P198" s="10">
        <f t="shared" si="37"/>
        <v>0</v>
      </c>
      <c r="Q198" s="10">
        <f t="shared" si="38"/>
      </c>
      <c r="R198" s="10" t="str">
        <f t="shared" si="40"/>
        <v>no</v>
      </c>
    </row>
    <row r="199" spans="13:18" ht="12.75">
      <c r="M199" s="10">
        <f t="shared" si="35"/>
        <v>34.700000000000394</v>
      </c>
      <c r="N199">
        <f t="shared" si="39"/>
        <v>89.70999040616067</v>
      </c>
      <c r="O199">
        <f t="shared" si="36"/>
        <v>89.70999040616067</v>
      </c>
      <c r="P199" s="10">
        <f t="shared" si="37"/>
        <v>0</v>
      </c>
      <c r="Q199" s="10">
        <f t="shared" si="38"/>
      </c>
      <c r="R199" s="10" t="str">
        <f t="shared" si="40"/>
        <v>no</v>
      </c>
    </row>
    <row r="200" spans="13:18" ht="12.75">
      <c r="M200" s="10">
        <f t="shared" si="35"/>
        <v>34.7200000000004</v>
      </c>
      <c r="N200">
        <f t="shared" si="39"/>
        <v>89.87286114140716</v>
      </c>
      <c r="O200">
        <f t="shared" si="36"/>
        <v>89.87286114140714</v>
      </c>
      <c r="P200" s="10">
        <f t="shared" si="37"/>
        <v>0</v>
      </c>
      <c r="Q200" s="10">
        <f t="shared" si="38"/>
      </c>
      <c r="R200" s="10" t="str">
        <f t="shared" si="40"/>
        <v>no</v>
      </c>
    </row>
    <row r="201" spans="13:18" ht="12.75">
      <c r="M201" s="10">
        <f t="shared" si="35"/>
        <v>34.7400000000004</v>
      </c>
      <c r="N201">
        <f t="shared" si="39"/>
        <v>90.03573187665366</v>
      </c>
      <c r="O201">
        <f t="shared" si="36"/>
        <v>90.03573187665367</v>
      </c>
      <c r="P201" s="10">
        <f t="shared" si="37"/>
        <v>0</v>
      </c>
      <c r="Q201" s="10">
        <f t="shared" si="38"/>
      </c>
      <c r="R201" s="10" t="str">
        <f t="shared" si="40"/>
        <v>no</v>
      </c>
    </row>
    <row r="202" spans="13:18" ht="12.75">
      <c r="M202" s="10">
        <f t="shared" si="35"/>
        <v>34.7600000000004</v>
      </c>
      <c r="N202">
        <f t="shared" si="39"/>
        <v>90.19860261190016</v>
      </c>
      <c r="O202">
        <f t="shared" si="36"/>
        <v>90.19860261190013</v>
      </c>
      <c r="P202" s="10">
        <f t="shared" si="37"/>
        <v>0</v>
      </c>
      <c r="Q202" s="10">
        <f t="shared" si="38"/>
      </c>
      <c r="R202" s="10" t="str">
        <f t="shared" si="40"/>
        <v>no</v>
      </c>
    </row>
    <row r="203" spans="13:18" ht="12.75">
      <c r="M203" s="10">
        <f t="shared" si="35"/>
        <v>34.780000000000406</v>
      </c>
      <c r="N203">
        <f t="shared" si="39"/>
        <v>90.36147334714666</v>
      </c>
      <c r="O203">
        <f t="shared" si="36"/>
        <v>90.36147334714663</v>
      </c>
      <c r="P203" s="10">
        <f t="shared" si="37"/>
        <v>0</v>
      </c>
      <c r="Q203" s="10">
        <f t="shared" si="38"/>
      </c>
      <c r="R203" s="10" t="str">
        <f t="shared" si="40"/>
        <v>no</v>
      </c>
    </row>
    <row r="204" spans="13:18" ht="12.75">
      <c r="M204" s="10">
        <f t="shared" si="35"/>
        <v>34.80000000000041</v>
      </c>
      <c r="N204">
        <f t="shared" si="39"/>
        <v>90.52434408239316</v>
      </c>
      <c r="O204">
        <f t="shared" si="36"/>
        <v>90.52434408239316</v>
      </c>
      <c r="P204" s="10">
        <f t="shared" si="37"/>
        <v>0</v>
      </c>
      <c r="Q204" s="10">
        <f t="shared" si="38"/>
      </c>
      <c r="R204" s="10" t="str">
        <f t="shared" si="40"/>
        <v>no</v>
      </c>
    </row>
    <row r="205" spans="13:18" ht="12.75">
      <c r="M205" s="10">
        <f t="shared" si="35"/>
        <v>34.82000000000041</v>
      </c>
      <c r="N205">
        <f t="shared" si="39"/>
        <v>90.68721481763964</v>
      </c>
      <c r="O205">
        <f t="shared" si="36"/>
        <v>90.68721481763964</v>
      </c>
      <c r="P205" s="10">
        <f t="shared" si="37"/>
        <v>0</v>
      </c>
      <c r="Q205" s="10">
        <f t="shared" si="38"/>
      </c>
      <c r="R205" s="10" t="str">
        <f t="shared" si="40"/>
        <v>no</v>
      </c>
    </row>
    <row r="206" spans="13:18" ht="12.75">
      <c r="M206" s="10">
        <f t="shared" si="35"/>
        <v>34.840000000000416</v>
      </c>
      <c r="N206">
        <f t="shared" si="39"/>
        <v>90.85008555288614</v>
      </c>
      <c r="O206">
        <f t="shared" si="36"/>
        <v>90.85008555288614</v>
      </c>
      <c r="P206" s="10">
        <f t="shared" si="37"/>
        <v>0</v>
      </c>
      <c r="Q206" s="10">
        <f t="shared" si="38"/>
      </c>
      <c r="R206" s="10" t="str">
        <f t="shared" si="40"/>
        <v>no</v>
      </c>
    </row>
    <row r="207" spans="13:18" ht="12.75">
      <c r="M207" s="10">
        <f t="shared" si="35"/>
        <v>34.86000000000042</v>
      </c>
      <c r="N207">
        <f t="shared" si="39"/>
        <v>91.01295628813264</v>
      </c>
      <c r="O207">
        <f t="shared" si="36"/>
        <v>91.01295628813261</v>
      </c>
      <c r="P207" s="10">
        <f t="shared" si="37"/>
        <v>0</v>
      </c>
      <c r="Q207" s="10">
        <f t="shared" si="38"/>
      </c>
      <c r="R207" s="10" t="str">
        <f t="shared" si="40"/>
        <v>no</v>
      </c>
    </row>
    <row r="208" spans="13:18" ht="12.75">
      <c r="M208" s="10">
        <f t="shared" si="35"/>
        <v>34.88000000000042</v>
      </c>
      <c r="N208">
        <f t="shared" si="39"/>
        <v>91.17582702337914</v>
      </c>
      <c r="O208">
        <f t="shared" si="36"/>
        <v>91.17582702337913</v>
      </c>
      <c r="P208" s="10">
        <f t="shared" si="37"/>
        <v>0</v>
      </c>
      <c r="Q208" s="10">
        <f t="shared" si="38"/>
      </c>
      <c r="R208" s="10" t="str">
        <f t="shared" si="40"/>
        <v>no</v>
      </c>
    </row>
    <row r="209" spans="13:18" ht="12.75">
      <c r="M209" s="10">
        <f t="shared" si="35"/>
        <v>34.900000000000425</v>
      </c>
      <c r="N209">
        <f t="shared" si="39"/>
        <v>91.33869775862564</v>
      </c>
      <c r="O209">
        <f t="shared" si="36"/>
        <v>91.33869775862564</v>
      </c>
      <c r="P209" s="10">
        <f t="shared" si="37"/>
        <v>0</v>
      </c>
      <c r="Q209" s="10">
        <f t="shared" si="38"/>
      </c>
      <c r="R209" s="10" t="str">
        <f t="shared" si="40"/>
        <v>no</v>
      </c>
    </row>
    <row r="210" spans="13:18" ht="12.75">
      <c r="M210" s="10">
        <f t="shared" si="35"/>
        <v>34.92000000000043</v>
      </c>
      <c r="N210">
        <f t="shared" si="39"/>
        <v>91.50156849387213</v>
      </c>
      <c r="O210">
        <f t="shared" si="36"/>
        <v>91.50156849387213</v>
      </c>
      <c r="P210" s="10">
        <f t="shared" si="37"/>
        <v>0</v>
      </c>
      <c r="Q210" s="10">
        <f t="shared" si="38"/>
      </c>
      <c r="R210" s="10" t="str">
        <f t="shared" si="40"/>
        <v>no</v>
      </c>
    </row>
    <row r="211" spans="13:18" ht="12.75">
      <c r="M211" s="10">
        <f t="shared" si="35"/>
        <v>34.94000000000043</v>
      </c>
      <c r="N211">
        <f t="shared" si="39"/>
        <v>91.66443922911863</v>
      </c>
      <c r="O211">
        <f t="shared" si="36"/>
        <v>91.66443922911863</v>
      </c>
      <c r="P211" s="10">
        <f t="shared" si="37"/>
        <v>0</v>
      </c>
      <c r="Q211" s="10">
        <f t="shared" si="38"/>
      </c>
      <c r="R211" s="10" t="str">
        <f t="shared" si="40"/>
        <v>no</v>
      </c>
    </row>
    <row r="212" spans="13:18" ht="12.75">
      <c r="M212" s="10">
        <f t="shared" si="35"/>
        <v>34.960000000000434</v>
      </c>
      <c r="N212">
        <f t="shared" si="39"/>
        <v>91.82730996436513</v>
      </c>
      <c r="O212">
        <f t="shared" si="36"/>
        <v>91.82730996436513</v>
      </c>
      <c r="P212" s="10">
        <f t="shared" si="37"/>
        <v>0</v>
      </c>
      <c r="Q212" s="10">
        <f t="shared" si="38"/>
      </c>
      <c r="R212" s="10" t="str">
        <f t="shared" si="40"/>
        <v>no</v>
      </c>
    </row>
    <row r="213" spans="13:18" ht="12.75">
      <c r="M213" s="10">
        <f t="shared" si="35"/>
        <v>34.98000000000044</v>
      </c>
      <c r="N213">
        <f t="shared" si="39"/>
        <v>91.99018069961163</v>
      </c>
      <c r="O213">
        <f t="shared" si="36"/>
        <v>91.99018069961163</v>
      </c>
      <c r="P213" s="10">
        <f t="shared" si="37"/>
        <v>0</v>
      </c>
      <c r="Q213" s="10">
        <f t="shared" si="38"/>
      </c>
      <c r="R213" s="10" t="str">
        <f t="shared" si="40"/>
        <v>no</v>
      </c>
    </row>
    <row r="214" spans="13:18" ht="12.75">
      <c r="M214" s="10">
        <f t="shared" si="35"/>
        <v>35.00000000000044</v>
      </c>
      <c r="N214">
        <f t="shared" si="39"/>
        <v>92.15305143485813</v>
      </c>
      <c r="O214">
        <f t="shared" si="36"/>
        <v>92.15305143485813</v>
      </c>
      <c r="P214" s="10">
        <f t="shared" si="37"/>
        <v>0</v>
      </c>
      <c r="Q214" s="10">
        <f t="shared" si="38"/>
      </c>
      <c r="R214" s="10" t="str">
        <f t="shared" si="40"/>
        <v>no</v>
      </c>
    </row>
    <row r="215" spans="13:18" ht="12.75">
      <c r="M215" s="10">
        <f t="shared" si="35"/>
        <v>35.020000000000444</v>
      </c>
      <c r="N215">
        <f t="shared" si="39"/>
        <v>92.31592217010461</v>
      </c>
      <c r="O215">
        <f t="shared" si="36"/>
        <v>92.31592217010461</v>
      </c>
      <c r="P215" s="10">
        <f t="shared" si="37"/>
        <v>0</v>
      </c>
      <c r="Q215" s="10">
        <f t="shared" si="38"/>
      </c>
      <c r="R215" s="10" t="str">
        <f t="shared" si="40"/>
        <v>no</v>
      </c>
    </row>
    <row r="216" spans="13:18" ht="12.75">
      <c r="M216" s="10">
        <f t="shared" si="35"/>
        <v>35.04000000000045</v>
      </c>
      <c r="N216">
        <f t="shared" si="39"/>
        <v>92.47879290535116</v>
      </c>
      <c r="O216">
        <f t="shared" si="36"/>
        <v>92.47879290535114</v>
      </c>
      <c r="P216" s="10">
        <f t="shared" si="37"/>
        <v>0</v>
      </c>
      <c r="Q216" s="10">
        <f t="shared" si="38"/>
      </c>
      <c r="R216" s="10" t="str">
        <f t="shared" si="40"/>
        <v>no</v>
      </c>
    </row>
    <row r="217" spans="13:18" ht="12.75">
      <c r="M217" s="10">
        <f t="shared" si="35"/>
        <v>35.06000000000045</v>
      </c>
      <c r="N217">
        <f t="shared" si="39"/>
        <v>92.64166364059761</v>
      </c>
      <c r="O217">
        <f t="shared" si="36"/>
        <v>92.64166364059761</v>
      </c>
      <c r="P217" s="10">
        <f t="shared" si="37"/>
        <v>0</v>
      </c>
      <c r="Q217" s="10">
        <f t="shared" si="38"/>
      </c>
      <c r="R217" s="10" t="str">
        <f t="shared" si="40"/>
        <v>no</v>
      </c>
    </row>
    <row r="218" spans="13:18" ht="12.75">
      <c r="M218" s="10">
        <f t="shared" si="35"/>
        <v>35.08000000000045</v>
      </c>
      <c r="N218">
        <f t="shared" si="39"/>
        <v>92.80453437584411</v>
      </c>
      <c r="O218">
        <f t="shared" si="36"/>
        <v>92.8045343758441</v>
      </c>
      <c r="P218" s="10">
        <f t="shared" si="37"/>
        <v>0</v>
      </c>
      <c r="Q218" s="10">
        <f t="shared" si="38"/>
      </c>
      <c r="R218" s="10" t="str">
        <f t="shared" si="40"/>
        <v>no</v>
      </c>
    </row>
    <row r="219" spans="13:18" ht="12.75">
      <c r="M219" s="10">
        <f t="shared" si="35"/>
        <v>35.100000000000456</v>
      </c>
      <c r="N219">
        <f t="shared" si="39"/>
        <v>92.96740511109061</v>
      </c>
      <c r="O219">
        <f t="shared" si="36"/>
        <v>92.96740511109061</v>
      </c>
      <c r="P219" s="10">
        <f t="shared" si="37"/>
        <v>0</v>
      </c>
      <c r="Q219" s="10">
        <f t="shared" si="38"/>
      </c>
      <c r="R219" s="10" t="str">
        <f t="shared" si="40"/>
        <v>no</v>
      </c>
    </row>
    <row r="220" spans="13:18" ht="12.75">
      <c r="M220" s="10">
        <f t="shared" si="35"/>
        <v>35.12000000000046</v>
      </c>
      <c r="N220">
        <f t="shared" si="39"/>
        <v>93.1302758463371</v>
      </c>
      <c r="O220">
        <f t="shared" si="36"/>
        <v>93.1302758463371</v>
      </c>
      <c r="P220" s="10">
        <f t="shared" si="37"/>
        <v>0</v>
      </c>
      <c r="Q220" s="10">
        <f t="shared" si="38"/>
      </c>
      <c r="R220" s="10" t="str">
        <f t="shared" si="40"/>
        <v>no</v>
      </c>
    </row>
    <row r="221" spans="13:18" ht="12.75">
      <c r="M221" s="10">
        <f t="shared" si="35"/>
        <v>35.14000000000046</v>
      </c>
      <c r="N221">
        <f t="shared" si="39"/>
        <v>93.29314658158364</v>
      </c>
      <c r="O221">
        <f t="shared" si="36"/>
        <v>93.29314658158363</v>
      </c>
      <c r="P221" s="10">
        <f t="shared" si="37"/>
        <v>0</v>
      </c>
      <c r="Q221" s="10">
        <f t="shared" si="38"/>
      </c>
      <c r="R221" s="10" t="str">
        <f t="shared" si="40"/>
        <v>no</v>
      </c>
    </row>
    <row r="222" spans="13:18" ht="12.75">
      <c r="M222" s="10">
        <f t="shared" si="35"/>
        <v>35.160000000000466</v>
      </c>
      <c r="N222">
        <f t="shared" si="39"/>
        <v>93.4560173168301</v>
      </c>
      <c r="O222">
        <f t="shared" si="36"/>
        <v>93.4560173168301</v>
      </c>
      <c r="P222" s="10">
        <f t="shared" si="37"/>
        <v>0</v>
      </c>
      <c r="Q222" s="10">
        <f t="shared" si="38"/>
      </c>
      <c r="R222" s="10" t="str">
        <f t="shared" si="40"/>
        <v>no</v>
      </c>
    </row>
    <row r="223" spans="13:18" ht="12.75">
      <c r="M223" s="10">
        <f t="shared" si="35"/>
        <v>35.18000000000047</v>
      </c>
      <c r="N223">
        <f t="shared" si="39"/>
        <v>93.6188880520766</v>
      </c>
      <c r="O223">
        <f t="shared" si="36"/>
        <v>93.61888805207658</v>
      </c>
      <c r="P223" s="10">
        <f t="shared" si="37"/>
        <v>0</v>
      </c>
      <c r="Q223" s="10">
        <f t="shared" si="38"/>
      </c>
      <c r="R223" s="10" t="str">
        <f t="shared" si="40"/>
        <v>no</v>
      </c>
    </row>
    <row r="224" spans="13:18" ht="12.75">
      <c r="M224" s="10">
        <f t="shared" si="35"/>
        <v>35.20000000000047</v>
      </c>
      <c r="N224">
        <f t="shared" si="39"/>
        <v>93.7817587873231</v>
      </c>
      <c r="O224">
        <f t="shared" si="36"/>
        <v>93.7817587873231</v>
      </c>
      <c r="P224" s="10">
        <f t="shared" si="37"/>
        <v>0</v>
      </c>
      <c r="Q224" s="10">
        <f t="shared" si="38"/>
      </c>
      <c r="R224" s="10" t="str">
        <f t="shared" si="40"/>
        <v>no</v>
      </c>
    </row>
    <row r="225" spans="13:18" ht="12.75">
      <c r="M225" s="10">
        <f t="shared" si="35"/>
        <v>35.220000000000475</v>
      </c>
      <c r="N225">
        <f t="shared" si="39"/>
        <v>93.94462952256964</v>
      </c>
      <c r="O225">
        <f t="shared" si="36"/>
        <v>93.94462952256958</v>
      </c>
      <c r="P225" s="10">
        <f t="shared" si="37"/>
        <v>0</v>
      </c>
      <c r="Q225" s="10">
        <f t="shared" si="38"/>
      </c>
      <c r="R225" s="10" t="str">
        <f t="shared" si="40"/>
        <v>no</v>
      </c>
    </row>
    <row r="226" spans="13:18" ht="12.75">
      <c r="M226" s="10">
        <f t="shared" si="35"/>
        <v>35.24000000000048</v>
      </c>
      <c r="N226">
        <f t="shared" si="39"/>
        <v>94.10750025781613</v>
      </c>
      <c r="O226">
        <f t="shared" si="36"/>
        <v>94.1075002578161</v>
      </c>
      <c r="P226" s="10">
        <f t="shared" si="37"/>
        <v>0</v>
      </c>
      <c r="Q226" s="10">
        <f t="shared" si="38"/>
      </c>
      <c r="R226" s="10" t="str">
        <f t="shared" si="40"/>
        <v>no</v>
      </c>
    </row>
    <row r="227" spans="13:18" ht="12.75">
      <c r="M227" s="10">
        <f t="shared" si="35"/>
        <v>35.26000000000048</v>
      </c>
      <c r="N227">
        <f t="shared" si="39"/>
        <v>94.27037099306258</v>
      </c>
      <c r="O227">
        <f t="shared" si="36"/>
        <v>94.27037099306261</v>
      </c>
      <c r="P227" s="10">
        <f t="shared" si="37"/>
        <v>0</v>
      </c>
      <c r="Q227" s="10">
        <f t="shared" si="38"/>
      </c>
      <c r="R227" s="10" t="str">
        <f t="shared" si="40"/>
        <v>no</v>
      </c>
    </row>
    <row r="228" spans="13:18" ht="12.75">
      <c r="M228" s="10">
        <f t="shared" si="35"/>
        <v>35.280000000000484</v>
      </c>
      <c r="N228">
        <f t="shared" si="39"/>
        <v>94.43324172830908</v>
      </c>
      <c r="O228">
        <f t="shared" si="36"/>
        <v>94.4332417283091</v>
      </c>
      <c r="P228" s="10">
        <f t="shared" si="37"/>
        <v>0</v>
      </c>
      <c r="Q228" s="10">
        <f t="shared" si="38"/>
      </c>
      <c r="R228" s="10" t="str">
        <f t="shared" si="40"/>
        <v>no</v>
      </c>
    </row>
    <row r="229" spans="13:18" ht="12.75">
      <c r="M229" s="10">
        <f t="shared" si="35"/>
        <v>35.30000000000049</v>
      </c>
      <c r="N229">
        <f t="shared" si="39"/>
        <v>94.59611246355558</v>
      </c>
      <c r="O229">
        <f t="shared" si="36"/>
        <v>94.59611246355561</v>
      </c>
      <c r="P229" s="10">
        <f t="shared" si="37"/>
        <v>0</v>
      </c>
      <c r="Q229" s="10">
        <f t="shared" si="38"/>
      </c>
      <c r="R229" s="10" t="str">
        <f t="shared" si="40"/>
        <v>no</v>
      </c>
    </row>
    <row r="230" spans="13:18" ht="12.75">
      <c r="M230" s="10">
        <f t="shared" si="35"/>
        <v>35.32000000000049</v>
      </c>
      <c r="N230">
        <f t="shared" si="39"/>
        <v>94.75898319880213</v>
      </c>
      <c r="O230">
        <f t="shared" si="36"/>
        <v>94.7589831988021</v>
      </c>
      <c r="P230" s="10">
        <f t="shared" si="37"/>
        <v>0</v>
      </c>
      <c r="Q230" s="10">
        <f t="shared" si="38"/>
      </c>
      <c r="R230" s="10" t="str">
        <f t="shared" si="40"/>
        <v>no</v>
      </c>
    </row>
    <row r="231" spans="13:18" ht="12.75">
      <c r="M231" s="10">
        <f t="shared" si="35"/>
        <v>35.340000000000494</v>
      </c>
      <c r="N231">
        <f t="shared" si="39"/>
        <v>94.92185393404861</v>
      </c>
      <c r="O231">
        <f t="shared" si="36"/>
        <v>94.92185393404858</v>
      </c>
      <c r="P231" s="10">
        <f t="shared" si="37"/>
        <v>0</v>
      </c>
      <c r="Q231" s="10">
        <f t="shared" si="38"/>
      </c>
      <c r="R231" s="10" t="str">
        <f t="shared" si="40"/>
        <v>no</v>
      </c>
    </row>
    <row r="232" spans="13:18" ht="12.75">
      <c r="M232" s="10">
        <f t="shared" si="35"/>
        <v>35.3600000000005</v>
      </c>
      <c r="N232">
        <f t="shared" si="39"/>
        <v>95.08472466929507</v>
      </c>
      <c r="O232">
        <f t="shared" si="36"/>
        <v>95.08472466929511</v>
      </c>
      <c r="P232" s="10">
        <f t="shared" si="37"/>
        <v>0</v>
      </c>
      <c r="Q232" s="10">
        <f t="shared" si="38"/>
      </c>
      <c r="R232" s="10" t="str">
        <f t="shared" si="40"/>
        <v>no</v>
      </c>
    </row>
    <row r="233" spans="13:18" ht="12.75">
      <c r="M233" s="10">
        <f t="shared" si="35"/>
        <v>35.3800000000005</v>
      </c>
      <c r="N233">
        <f t="shared" si="39"/>
        <v>95.24759540454157</v>
      </c>
      <c r="O233">
        <f t="shared" si="36"/>
        <v>95.24759540454161</v>
      </c>
      <c r="P233" s="10">
        <f t="shared" si="37"/>
        <v>0</v>
      </c>
      <c r="Q233" s="10">
        <f t="shared" si="38"/>
      </c>
      <c r="R233" s="10" t="str">
        <f t="shared" si="40"/>
        <v>no</v>
      </c>
    </row>
    <row r="234" spans="13:18" ht="12.75">
      <c r="M234" s="10">
        <f t="shared" si="35"/>
        <v>35.4000000000005</v>
      </c>
      <c r="N234">
        <f t="shared" si="39"/>
        <v>95.41046613978811</v>
      </c>
      <c r="O234">
        <f t="shared" si="36"/>
        <v>95.41046613978808</v>
      </c>
      <c r="P234" s="10">
        <f t="shared" si="37"/>
        <v>0</v>
      </c>
      <c r="Q234" s="10">
        <f t="shared" si="38"/>
      </c>
      <c r="R234" s="10" t="str">
        <f t="shared" si="40"/>
        <v>no</v>
      </c>
    </row>
    <row r="235" spans="13:18" ht="12.75">
      <c r="M235" s="10">
        <f t="shared" si="35"/>
        <v>35.420000000000506</v>
      </c>
      <c r="N235">
        <f t="shared" si="39"/>
        <v>95.57333687503461</v>
      </c>
      <c r="O235">
        <f t="shared" si="36"/>
        <v>95.57333687503461</v>
      </c>
      <c r="P235" s="10">
        <f t="shared" si="37"/>
        <v>0</v>
      </c>
      <c r="Q235" s="10">
        <f t="shared" si="38"/>
      </c>
      <c r="R235" s="10" t="str">
        <f t="shared" si="40"/>
        <v>no</v>
      </c>
    </row>
    <row r="236" spans="13:18" ht="12.75">
      <c r="M236" s="10">
        <f t="shared" si="35"/>
        <v>35.44000000000051</v>
      </c>
      <c r="N236">
        <f t="shared" si="39"/>
        <v>95.7362076102811</v>
      </c>
      <c r="O236">
        <f t="shared" si="36"/>
        <v>95.7362076102811</v>
      </c>
      <c r="P236" s="10">
        <f t="shared" si="37"/>
        <v>0</v>
      </c>
      <c r="Q236" s="10">
        <f t="shared" si="38"/>
      </c>
      <c r="R236" s="10" t="str">
        <f t="shared" si="40"/>
        <v>no</v>
      </c>
    </row>
    <row r="237" spans="13:18" ht="12.75">
      <c r="M237" s="10">
        <f t="shared" si="35"/>
        <v>35.46000000000051</v>
      </c>
      <c r="N237">
        <f t="shared" si="39"/>
        <v>95.89907834552756</v>
      </c>
      <c r="O237">
        <f t="shared" si="36"/>
        <v>95.89907834552758</v>
      </c>
      <c r="P237" s="10">
        <f t="shared" si="37"/>
        <v>0</v>
      </c>
      <c r="Q237" s="10">
        <f t="shared" si="38"/>
      </c>
      <c r="R237" s="10" t="str">
        <f t="shared" si="40"/>
        <v>no</v>
      </c>
    </row>
    <row r="238" spans="13:18" ht="12.75">
      <c r="M238" s="10">
        <f t="shared" si="35"/>
        <v>35.480000000000516</v>
      </c>
      <c r="N238">
        <f t="shared" si="39"/>
        <v>96.06194908077406</v>
      </c>
      <c r="O238">
        <f t="shared" si="36"/>
        <v>96.0619490807741</v>
      </c>
      <c r="P238" s="10">
        <f t="shared" si="37"/>
        <v>0</v>
      </c>
      <c r="Q238" s="10">
        <f t="shared" si="38"/>
      </c>
      <c r="R238" s="10" t="str">
        <f t="shared" si="40"/>
        <v>no</v>
      </c>
    </row>
    <row r="239" spans="13:18" ht="12.75">
      <c r="M239" s="10">
        <f t="shared" si="35"/>
        <v>35.50000000000052</v>
      </c>
      <c r="N239">
        <f t="shared" si="39"/>
        <v>96.2248198160206</v>
      </c>
      <c r="O239">
        <f t="shared" si="36"/>
        <v>96.22481981602058</v>
      </c>
      <c r="P239" s="10">
        <f t="shared" si="37"/>
        <v>0</v>
      </c>
      <c r="Q239" s="10">
        <f t="shared" si="38"/>
      </c>
      <c r="R239" s="10" t="str">
        <f t="shared" si="40"/>
        <v>no</v>
      </c>
    </row>
    <row r="240" spans="13:18" ht="12.75">
      <c r="M240" s="10">
        <f t="shared" si="35"/>
        <v>35.52000000000052</v>
      </c>
      <c r="N240">
        <f t="shared" si="39"/>
        <v>96.3876905512671</v>
      </c>
      <c r="O240">
        <f t="shared" si="36"/>
        <v>96.3876905512671</v>
      </c>
      <c r="P240" s="10">
        <f t="shared" si="37"/>
        <v>0</v>
      </c>
      <c r="Q240" s="10">
        <f t="shared" si="38"/>
      </c>
      <c r="R240" s="10" t="str">
        <f t="shared" si="40"/>
        <v>no</v>
      </c>
    </row>
    <row r="241" spans="13:18" ht="12.75">
      <c r="M241" s="10">
        <f t="shared" si="35"/>
        <v>35.540000000000525</v>
      </c>
      <c r="N241">
        <f t="shared" si="39"/>
        <v>96.55056128651358</v>
      </c>
      <c r="O241">
        <f t="shared" si="36"/>
        <v>96.55056128651358</v>
      </c>
      <c r="P241" s="10">
        <f t="shared" si="37"/>
        <v>0</v>
      </c>
      <c r="Q241" s="10">
        <f t="shared" si="38"/>
      </c>
      <c r="R241" s="10" t="str">
        <f t="shared" si="40"/>
        <v>no</v>
      </c>
    </row>
    <row r="242" spans="13:18" ht="12.75">
      <c r="M242" s="10">
        <f t="shared" si="35"/>
        <v>35.56000000000053</v>
      </c>
      <c r="N242">
        <f t="shared" si="39"/>
        <v>96.71343202176004</v>
      </c>
      <c r="O242">
        <f t="shared" si="36"/>
        <v>96.71343202176007</v>
      </c>
      <c r="P242" s="10">
        <f t="shared" si="37"/>
        <v>0</v>
      </c>
      <c r="Q242" s="10">
        <f t="shared" si="38"/>
      </c>
      <c r="R242" s="10" t="str">
        <f t="shared" si="40"/>
        <v>no</v>
      </c>
    </row>
    <row r="243" spans="13:18" ht="12.75">
      <c r="M243" s="10">
        <f t="shared" si="35"/>
        <v>35.58000000000053</v>
      </c>
      <c r="N243">
        <f t="shared" si="39"/>
        <v>96.87630275700658</v>
      </c>
      <c r="O243">
        <f t="shared" si="36"/>
        <v>96.87630275700658</v>
      </c>
      <c r="P243" s="10">
        <f t="shared" si="37"/>
        <v>0</v>
      </c>
      <c r="Q243" s="10">
        <f t="shared" si="38"/>
      </c>
      <c r="R243" s="10" t="str">
        <f t="shared" si="40"/>
        <v>no</v>
      </c>
    </row>
    <row r="244" spans="13:18" ht="12.75">
      <c r="M244" s="10">
        <f t="shared" si="35"/>
        <v>35.600000000000534</v>
      </c>
      <c r="N244">
        <f t="shared" si="39"/>
        <v>97.03917349225308</v>
      </c>
      <c r="O244">
        <f t="shared" si="36"/>
        <v>97.03917349225308</v>
      </c>
      <c r="P244" s="10">
        <f t="shared" si="37"/>
        <v>0</v>
      </c>
      <c r="Q244" s="10">
        <f t="shared" si="38"/>
      </c>
      <c r="R244" s="10" t="str">
        <f t="shared" si="40"/>
        <v>no</v>
      </c>
    </row>
    <row r="245" spans="13:18" ht="12.75">
      <c r="M245" s="10">
        <f t="shared" si="35"/>
        <v>35.62000000000054</v>
      </c>
      <c r="N245">
        <f t="shared" si="39"/>
        <v>97.20204422749958</v>
      </c>
      <c r="O245">
        <f t="shared" si="36"/>
        <v>97.20204422749958</v>
      </c>
      <c r="P245" s="10">
        <f t="shared" si="37"/>
        <v>0</v>
      </c>
      <c r="Q245" s="10">
        <f t="shared" si="38"/>
      </c>
      <c r="R245" s="10" t="str">
        <f t="shared" si="40"/>
        <v>no</v>
      </c>
    </row>
    <row r="246" spans="13:18" ht="12.75">
      <c r="M246" s="10">
        <f t="shared" si="35"/>
        <v>35.64000000000054</v>
      </c>
      <c r="N246">
        <f t="shared" si="39"/>
        <v>97.36491496274607</v>
      </c>
      <c r="O246">
        <f t="shared" si="36"/>
        <v>97.36491496274607</v>
      </c>
      <c r="P246" s="10">
        <f t="shared" si="37"/>
        <v>0</v>
      </c>
      <c r="Q246" s="10">
        <f t="shared" si="38"/>
      </c>
      <c r="R246" s="10" t="str">
        <f t="shared" si="40"/>
        <v>no</v>
      </c>
    </row>
    <row r="247" spans="13:18" ht="12.75">
      <c r="M247" s="10">
        <f t="shared" si="35"/>
        <v>35.660000000000544</v>
      </c>
      <c r="N247">
        <f t="shared" si="39"/>
        <v>97.52778569799257</v>
      </c>
      <c r="O247">
        <f t="shared" si="36"/>
        <v>97.52778569799257</v>
      </c>
      <c r="P247" s="10">
        <f t="shared" si="37"/>
        <v>0</v>
      </c>
      <c r="Q247" s="10">
        <f t="shared" si="38"/>
      </c>
      <c r="R247" s="10" t="str">
        <f t="shared" si="40"/>
        <v>no</v>
      </c>
    </row>
    <row r="248" spans="13:18" ht="12.75">
      <c r="M248" s="10">
        <f t="shared" si="35"/>
        <v>35.68000000000055</v>
      </c>
      <c r="N248">
        <f t="shared" si="39"/>
        <v>97.69065643323907</v>
      </c>
      <c r="O248">
        <f t="shared" si="36"/>
        <v>97.69065643323907</v>
      </c>
      <c r="P248" s="10">
        <f t="shared" si="37"/>
        <v>0</v>
      </c>
      <c r="Q248" s="10">
        <f t="shared" si="38"/>
      </c>
      <c r="R248" s="10" t="str">
        <f t="shared" si="40"/>
        <v>no</v>
      </c>
    </row>
    <row r="249" spans="13:18" ht="12.75">
      <c r="M249" s="10">
        <f t="shared" si="35"/>
        <v>35.70000000000055</v>
      </c>
      <c r="N249">
        <f t="shared" si="39"/>
        <v>97.85352716848557</v>
      </c>
      <c r="O249">
        <f t="shared" si="36"/>
        <v>97.85352716848556</v>
      </c>
      <c r="P249" s="10">
        <f t="shared" si="37"/>
        <v>0</v>
      </c>
      <c r="Q249" s="10">
        <f t="shared" si="38"/>
      </c>
      <c r="R249" s="10" t="str">
        <f t="shared" si="40"/>
        <v>no</v>
      </c>
    </row>
    <row r="250" spans="13:18" ht="12.75">
      <c r="M250" s="10">
        <f t="shared" si="35"/>
        <v>35.72000000000055</v>
      </c>
      <c r="N250">
        <f t="shared" si="39"/>
        <v>98.01639790373207</v>
      </c>
      <c r="O250">
        <f t="shared" si="36"/>
        <v>98.01639790373207</v>
      </c>
      <c r="P250" s="10">
        <f t="shared" si="37"/>
        <v>0</v>
      </c>
      <c r="Q250" s="10">
        <f t="shared" si="38"/>
      </c>
      <c r="R250" s="10" t="str">
        <f t="shared" si="40"/>
        <v>no</v>
      </c>
    </row>
    <row r="251" spans="13:18" ht="12.75">
      <c r="M251" s="10">
        <f aca="true" t="shared" si="41" ref="M251:M314">M250+deltaP_S</f>
        <v>35.740000000000556</v>
      </c>
      <c r="N251">
        <f t="shared" si="39"/>
        <v>98.17926863897856</v>
      </c>
      <c r="O251">
        <f aca="true" t="shared" si="42" ref="O251:O314">EXP(-(r_/100)*tR_)*(((sinal_pos/100)*(IF(years+(months/12)&lt;0,0,IF(AND(FC_pos*((q_*B_*M251*(EXP(-(delta/100)*2)))-Idp)&lt;Inv,years+(months/12)=0),0,BjStAmericanCall(FC_pos*q_*B_*M251*(EXP(-(delta/100)*2)),Inv+(FC_pos*Idp),years+(months/12),r_/100,delta/100,sigma/100)))))+((1-(sinal_pos/100))*IF(years+(months/12)&lt;0,0,IF(AND(FC_neg*((q_*B_*M251*(EXP(-(delta/100)*2)))-Idp)&lt;Inv,years+(months/12)=0),0,BjStAmericanCall(FC_neg*q_*B_*M251*(EXP(-(delta/100)*2)),Inv+(FC_neg*Idp),years+(months/12),r_/100,delta/100,sigma/100)))))</f>
        <v>98.17926863897858</v>
      </c>
      <c r="P251" s="10">
        <f aca="true" t="shared" si="43" ref="P251:P314">O251-N251</f>
        <v>0</v>
      </c>
      <c r="Q251" s="10">
        <f aca="true" t="shared" si="44" ref="Q251:Q314">IF(AND(Q250="no",P251&lt;=0),"yes",IF(AND(Q250="no",P251&gt;0),"no",""))</f>
      </c>
      <c r="R251" s="10" t="str">
        <f t="shared" si="40"/>
        <v>no</v>
      </c>
    </row>
    <row r="252" spans="13:18" ht="12.75">
      <c r="M252" s="10">
        <f t="shared" si="41"/>
        <v>35.76000000000056</v>
      </c>
      <c r="N252">
        <f t="shared" si="39"/>
        <v>98.34213937422507</v>
      </c>
      <c r="O252">
        <f t="shared" si="42"/>
        <v>98.34213937422506</v>
      </c>
      <c r="P252" s="10">
        <f t="shared" si="43"/>
        <v>0</v>
      </c>
      <c r="Q252" s="10">
        <f t="shared" si="44"/>
      </c>
      <c r="R252" s="10" t="str">
        <f t="shared" si="40"/>
        <v>no</v>
      </c>
    </row>
    <row r="253" spans="13:18" ht="12.75">
      <c r="M253" s="10">
        <f t="shared" si="41"/>
        <v>35.78000000000056</v>
      </c>
      <c r="N253">
        <f t="shared" si="39"/>
        <v>98.50501010947156</v>
      </c>
      <c r="O253">
        <f t="shared" si="42"/>
        <v>98.50501010947156</v>
      </c>
      <c r="P253" s="10">
        <f t="shared" si="43"/>
        <v>0</v>
      </c>
      <c r="Q253" s="10">
        <f t="shared" si="44"/>
      </c>
      <c r="R253" s="10" t="str">
        <f t="shared" si="40"/>
        <v>no</v>
      </c>
    </row>
    <row r="254" spans="13:18" ht="12.75">
      <c r="M254" s="10">
        <f t="shared" si="41"/>
        <v>35.800000000000566</v>
      </c>
      <c r="N254">
        <f t="shared" si="39"/>
        <v>98.66788084471804</v>
      </c>
      <c r="O254">
        <f t="shared" si="42"/>
        <v>98.66788084471803</v>
      </c>
      <c r="P254" s="10">
        <f t="shared" si="43"/>
        <v>0</v>
      </c>
      <c r="Q254" s="10">
        <f t="shared" si="44"/>
      </c>
      <c r="R254" s="10" t="str">
        <f t="shared" si="40"/>
        <v>no</v>
      </c>
    </row>
    <row r="255" spans="13:18" ht="12.75">
      <c r="M255" s="10">
        <f t="shared" si="41"/>
        <v>35.82000000000057</v>
      </c>
      <c r="N255">
        <f t="shared" si="39"/>
        <v>98.83075157996456</v>
      </c>
      <c r="O255">
        <f t="shared" si="42"/>
        <v>98.83075157996457</v>
      </c>
      <c r="P255" s="10">
        <f t="shared" si="43"/>
        <v>0</v>
      </c>
      <c r="Q255" s="10">
        <f t="shared" si="44"/>
      </c>
      <c r="R255" s="10" t="str">
        <f t="shared" si="40"/>
        <v>no</v>
      </c>
    </row>
    <row r="256" spans="13:18" ht="12.75">
      <c r="M256" s="10">
        <f t="shared" si="41"/>
        <v>35.84000000000057</v>
      </c>
      <c r="N256">
        <f t="shared" si="39"/>
        <v>98.99362231521104</v>
      </c>
      <c r="O256">
        <f t="shared" si="42"/>
        <v>98.99362231521107</v>
      </c>
      <c r="P256" s="10">
        <f t="shared" si="43"/>
        <v>0</v>
      </c>
      <c r="Q256" s="10">
        <f t="shared" si="44"/>
      </c>
      <c r="R256" s="10" t="str">
        <f t="shared" si="40"/>
        <v>no</v>
      </c>
    </row>
    <row r="257" spans="13:18" ht="12.75">
      <c r="M257" s="10">
        <f t="shared" si="41"/>
        <v>35.860000000000575</v>
      </c>
      <c r="N257">
        <f t="shared" si="39"/>
        <v>99.15649305045756</v>
      </c>
      <c r="O257">
        <f t="shared" si="42"/>
        <v>99.15649305045756</v>
      </c>
      <c r="P257" s="10">
        <f t="shared" si="43"/>
        <v>0</v>
      </c>
      <c r="Q257" s="10">
        <f t="shared" si="44"/>
      </c>
      <c r="R257" s="10" t="str">
        <f t="shared" si="40"/>
        <v>no</v>
      </c>
    </row>
    <row r="258" spans="13:18" ht="12.75">
      <c r="M258" s="10">
        <f t="shared" si="41"/>
        <v>35.88000000000058</v>
      </c>
      <c r="N258">
        <f t="shared" si="39"/>
        <v>99.31936378570404</v>
      </c>
      <c r="O258">
        <f t="shared" si="42"/>
        <v>99.31936378570407</v>
      </c>
      <c r="P258" s="10">
        <f t="shared" si="43"/>
        <v>0</v>
      </c>
      <c r="Q258" s="10">
        <f t="shared" si="44"/>
      </c>
      <c r="R258" s="10" t="str">
        <f t="shared" si="40"/>
        <v>no</v>
      </c>
    </row>
    <row r="259" spans="13:18" ht="12.75">
      <c r="M259" s="10">
        <f t="shared" si="41"/>
        <v>35.90000000000058</v>
      </c>
      <c r="N259">
        <f t="shared" si="39"/>
        <v>99.48223452095053</v>
      </c>
      <c r="O259">
        <f t="shared" si="42"/>
        <v>99.48223452095053</v>
      </c>
      <c r="P259" s="10">
        <f t="shared" si="43"/>
        <v>0</v>
      </c>
      <c r="Q259" s="10">
        <f t="shared" si="44"/>
      </c>
      <c r="R259" s="10" t="str">
        <f t="shared" si="40"/>
        <v>no</v>
      </c>
    </row>
    <row r="260" spans="13:18" ht="12.75">
      <c r="M260" s="10">
        <f t="shared" si="41"/>
        <v>35.920000000000584</v>
      </c>
      <c r="N260">
        <f t="shared" si="39"/>
        <v>99.64510525619704</v>
      </c>
      <c r="O260">
        <f t="shared" si="42"/>
        <v>99.64510525619704</v>
      </c>
      <c r="P260" s="10">
        <f t="shared" si="43"/>
        <v>0</v>
      </c>
      <c r="Q260" s="10">
        <f t="shared" si="44"/>
      </c>
      <c r="R260" s="10" t="str">
        <f t="shared" si="40"/>
        <v>no</v>
      </c>
    </row>
    <row r="261" spans="13:18" ht="12.75">
      <c r="M261" s="10">
        <f t="shared" si="41"/>
        <v>35.94000000000059</v>
      </c>
      <c r="N261">
        <f aca="true" t="shared" si="45" ref="N261:N324">-Inv+((FC0/100)*BjStAmericanCall(q_*B_*M261*(EXP(-(delta/100)*2)),Idp,years+(months/12),r_/100,delta/100,sigma/100))</f>
        <v>99.80797599144353</v>
      </c>
      <c r="O261">
        <f t="shared" si="42"/>
        <v>99.80797599144353</v>
      </c>
      <c r="P261" s="10">
        <f t="shared" si="43"/>
        <v>0</v>
      </c>
      <c r="Q261" s="10">
        <f t="shared" si="44"/>
      </c>
      <c r="R261" s="10" t="str">
        <f aca="true" t="shared" si="46" ref="R261:R324">IF(AND(Q261="no",Q262="yes"),"yes","no")</f>
        <v>no</v>
      </c>
    </row>
    <row r="262" spans="13:18" ht="12.75">
      <c r="M262" s="10">
        <f t="shared" si="41"/>
        <v>35.96000000000059</v>
      </c>
      <c r="N262">
        <f t="shared" si="45"/>
        <v>99.97084672669004</v>
      </c>
      <c r="O262">
        <f t="shared" si="42"/>
        <v>99.97084672669006</v>
      </c>
      <c r="P262" s="10">
        <f t="shared" si="43"/>
        <v>0</v>
      </c>
      <c r="Q262" s="10">
        <f t="shared" si="44"/>
      </c>
      <c r="R262" s="10" t="str">
        <f t="shared" si="46"/>
        <v>no</v>
      </c>
    </row>
    <row r="263" spans="13:18" ht="12.75">
      <c r="M263" s="10">
        <f t="shared" si="41"/>
        <v>35.980000000000594</v>
      </c>
      <c r="N263">
        <f t="shared" si="45"/>
        <v>100.13371746193653</v>
      </c>
      <c r="O263">
        <f t="shared" si="42"/>
        <v>100.13371746193656</v>
      </c>
      <c r="P263" s="10">
        <f t="shared" si="43"/>
        <v>0</v>
      </c>
      <c r="Q263" s="10">
        <f t="shared" si="44"/>
      </c>
      <c r="R263" s="10" t="str">
        <f t="shared" si="46"/>
        <v>no</v>
      </c>
    </row>
    <row r="264" spans="13:18" ht="12.75">
      <c r="M264" s="10">
        <f t="shared" si="41"/>
        <v>36.0000000000006</v>
      </c>
      <c r="N264">
        <f t="shared" si="45"/>
        <v>100.29658819718301</v>
      </c>
      <c r="O264">
        <f t="shared" si="42"/>
        <v>100.29658819718303</v>
      </c>
      <c r="P264" s="10">
        <f t="shared" si="43"/>
        <v>0</v>
      </c>
      <c r="Q264" s="10">
        <f t="shared" si="44"/>
      </c>
      <c r="R264" s="10" t="str">
        <f t="shared" si="46"/>
        <v>no</v>
      </c>
    </row>
    <row r="265" spans="13:18" ht="12.75">
      <c r="M265" s="10">
        <f t="shared" si="41"/>
        <v>36.0200000000006</v>
      </c>
      <c r="N265">
        <f t="shared" si="45"/>
        <v>100.45945893242953</v>
      </c>
      <c r="O265">
        <f t="shared" si="42"/>
        <v>100.45945893242953</v>
      </c>
      <c r="P265" s="10">
        <f t="shared" si="43"/>
        <v>0</v>
      </c>
      <c r="Q265" s="10">
        <f t="shared" si="44"/>
      </c>
      <c r="R265" s="10" t="str">
        <f t="shared" si="46"/>
        <v>no</v>
      </c>
    </row>
    <row r="266" spans="13:18" ht="12.75">
      <c r="M266" s="10">
        <f t="shared" si="41"/>
        <v>36.0400000000006</v>
      </c>
      <c r="N266">
        <f t="shared" si="45"/>
        <v>100.62232966767607</v>
      </c>
      <c r="O266">
        <f t="shared" si="42"/>
        <v>100.62232966767604</v>
      </c>
      <c r="P266" s="10">
        <f t="shared" si="43"/>
        <v>0</v>
      </c>
      <c r="Q266" s="10">
        <f t="shared" si="44"/>
      </c>
      <c r="R266" s="10" t="str">
        <f t="shared" si="46"/>
        <v>no</v>
      </c>
    </row>
    <row r="267" spans="13:18" ht="12.75">
      <c r="M267" s="10">
        <f t="shared" si="41"/>
        <v>36.060000000000606</v>
      </c>
      <c r="N267">
        <f t="shared" si="45"/>
        <v>100.78520040292256</v>
      </c>
      <c r="O267">
        <f t="shared" si="42"/>
        <v>100.78520040292253</v>
      </c>
      <c r="P267" s="10">
        <f t="shared" si="43"/>
        <v>0</v>
      </c>
      <c r="Q267" s="10">
        <f t="shared" si="44"/>
      </c>
      <c r="R267" s="10" t="str">
        <f t="shared" si="46"/>
        <v>no</v>
      </c>
    </row>
    <row r="268" spans="13:18" ht="12.75">
      <c r="M268" s="10">
        <f t="shared" si="41"/>
        <v>36.08000000000061</v>
      </c>
      <c r="N268">
        <f t="shared" si="45"/>
        <v>100.94807113816901</v>
      </c>
      <c r="O268">
        <f t="shared" si="42"/>
        <v>100.94807113816904</v>
      </c>
      <c r="P268" s="10">
        <f t="shared" si="43"/>
        <v>0</v>
      </c>
      <c r="Q268" s="10">
        <f t="shared" si="44"/>
      </c>
      <c r="R268" s="10" t="str">
        <f t="shared" si="46"/>
        <v>no</v>
      </c>
    </row>
    <row r="269" spans="13:18" ht="12.75">
      <c r="M269" s="10">
        <f t="shared" si="41"/>
        <v>36.10000000000061</v>
      </c>
      <c r="N269">
        <f t="shared" si="45"/>
        <v>101.1109418734155</v>
      </c>
      <c r="O269">
        <f t="shared" si="42"/>
        <v>101.11094187341551</v>
      </c>
      <c r="P269" s="10">
        <f t="shared" si="43"/>
        <v>0</v>
      </c>
      <c r="Q269" s="10">
        <f t="shared" si="44"/>
      </c>
      <c r="R269" s="10" t="str">
        <f t="shared" si="46"/>
        <v>no</v>
      </c>
    </row>
    <row r="270" spans="13:18" ht="12.75">
      <c r="M270" s="10">
        <f t="shared" si="41"/>
        <v>36.120000000000616</v>
      </c>
      <c r="N270">
        <f t="shared" si="45"/>
        <v>101.27381260866201</v>
      </c>
      <c r="O270">
        <f t="shared" si="42"/>
        <v>101.27381260866204</v>
      </c>
      <c r="P270" s="10">
        <f t="shared" si="43"/>
        <v>0</v>
      </c>
      <c r="Q270" s="10">
        <f t="shared" si="44"/>
      </c>
      <c r="R270" s="10" t="str">
        <f t="shared" si="46"/>
        <v>no</v>
      </c>
    </row>
    <row r="271" spans="13:18" ht="12.75">
      <c r="M271" s="10">
        <f t="shared" si="41"/>
        <v>36.14000000000062</v>
      </c>
      <c r="N271">
        <f t="shared" si="45"/>
        <v>101.43668334390856</v>
      </c>
      <c r="O271">
        <f t="shared" si="42"/>
        <v>101.4366833439085</v>
      </c>
      <c r="P271" s="10">
        <f t="shared" si="43"/>
        <v>0</v>
      </c>
      <c r="Q271" s="10">
        <f t="shared" si="44"/>
      </c>
      <c r="R271" s="10" t="str">
        <f t="shared" si="46"/>
        <v>no</v>
      </c>
    </row>
    <row r="272" spans="13:18" ht="12.75">
      <c r="M272" s="10">
        <f t="shared" si="41"/>
        <v>36.16000000000062</v>
      </c>
      <c r="N272">
        <f t="shared" si="45"/>
        <v>101.59955407915504</v>
      </c>
      <c r="O272">
        <f t="shared" si="42"/>
        <v>101.59955407915501</v>
      </c>
      <c r="P272" s="10">
        <f t="shared" si="43"/>
        <v>0</v>
      </c>
      <c r="Q272" s="10">
        <f t="shared" si="44"/>
      </c>
      <c r="R272" s="10" t="str">
        <f t="shared" si="46"/>
        <v>no</v>
      </c>
    </row>
    <row r="273" spans="13:18" ht="12.75">
      <c r="M273" s="10">
        <f t="shared" si="41"/>
        <v>36.180000000000625</v>
      </c>
      <c r="N273">
        <f t="shared" si="45"/>
        <v>101.7624248144015</v>
      </c>
      <c r="O273">
        <f t="shared" si="42"/>
        <v>101.76242481440153</v>
      </c>
      <c r="P273" s="10">
        <f t="shared" si="43"/>
        <v>0</v>
      </c>
      <c r="Q273" s="10">
        <f t="shared" si="44"/>
      </c>
      <c r="R273" s="10" t="str">
        <f t="shared" si="46"/>
        <v>no</v>
      </c>
    </row>
    <row r="274" spans="13:18" ht="12.75">
      <c r="M274" s="10">
        <f t="shared" si="41"/>
        <v>36.20000000000063</v>
      </c>
      <c r="N274">
        <f t="shared" si="45"/>
        <v>101.92529554964798</v>
      </c>
      <c r="O274">
        <f t="shared" si="42"/>
        <v>101.92529554964801</v>
      </c>
      <c r="P274" s="10">
        <f t="shared" si="43"/>
        <v>0</v>
      </c>
      <c r="Q274" s="10">
        <f t="shared" si="44"/>
      </c>
      <c r="R274" s="10" t="str">
        <f t="shared" si="46"/>
        <v>no</v>
      </c>
    </row>
    <row r="275" spans="13:18" ht="12.75">
      <c r="M275" s="10">
        <f t="shared" si="41"/>
        <v>36.22000000000063</v>
      </c>
      <c r="N275">
        <f t="shared" si="45"/>
        <v>102.08816628489453</v>
      </c>
      <c r="O275">
        <f t="shared" si="42"/>
        <v>102.08816628489451</v>
      </c>
      <c r="P275" s="10">
        <f t="shared" si="43"/>
        <v>0</v>
      </c>
      <c r="Q275" s="10">
        <f t="shared" si="44"/>
      </c>
      <c r="R275" s="10" t="str">
        <f t="shared" si="46"/>
        <v>no</v>
      </c>
    </row>
    <row r="276" spans="13:18" ht="12.75">
      <c r="M276" s="10">
        <f t="shared" si="41"/>
        <v>36.240000000000634</v>
      </c>
      <c r="N276">
        <f t="shared" si="45"/>
        <v>102.25103702014104</v>
      </c>
      <c r="O276">
        <f t="shared" si="42"/>
        <v>102.25103702014098</v>
      </c>
      <c r="P276" s="10">
        <f t="shared" si="43"/>
        <v>0</v>
      </c>
      <c r="Q276" s="10">
        <f t="shared" si="44"/>
      </c>
      <c r="R276" s="10" t="str">
        <f t="shared" si="46"/>
        <v>no</v>
      </c>
    </row>
    <row r="277" spans="13:18" ht="12.75">
      <c r="M277" s="10">
        <f t="shared" si="41"/>
        <v>36.26000000000064</v>
      </c>
      <c r="N277">
        <f t="shared" si="45"/>
        <v>102.41390775538753</v>
      </c>
      <c r="O277">
        <f t="shared" si="42"/>
        <v>102.41390775538751</v>
      </c>
      <c r="P277" s="10">
        <f t="shared" si="43"/>
        <v>0</v>
      </c>
      <c r="Q277" s="10">
        <f t="shared" si="44"/>
      </c>
      <c r="R277" s="10" t="str">
        <f t="shared" si="46"/>
        <v>no</v>
      </c>
    </row>
    <row r="278" spans="13:18" ht="12.75">
      <c r="M278" s="10">
        <f t="shared" si="41"/>
        <v>36.28000000000064</v>
      </c>
      <c r="N278">
        <f t="shared" si="45"/>
        <v>102.57677849063398</v>
      </c>
      <c r="O278">
        <f t="shared" si="42"/>
        <v>102.57677849063404</v>
      </c>
      <c r="P278" s="10">
        <f t="shared" si="43"/>
        <v>0</v>
      </c>
      <c r="Q278" s="10">
        <f t="shared" si="44"/>
      </c>
      <c r="R278" s="10" t="str">
        <f t="shared" si="46"/>
        <v>no</v>
      </c>
    </row>
    <row r="279" spans="13:18" ht="12.75">
      <c r="M279" s="10">
        <f t="shared" si="41"/>
        <v>36.300000000000644</v>
      </c>
      <c r="N279">
        <f t="shared" si="45"/>
        <v>102.73964922588047</v>
      </c>
      <c r="O279">
        <f t="shared" si="42"/>
        <v>102.7396492258805</v>
      </c>
      <c r="P279" s="10">
        <f t="shared" si="43"/>
        <v>0</v>
      </c>
      <c r="Q279" s="10">
        <f t="shared" si="44"/>
      </c>
      <c r="R279" s="10" t="str">
        <f t="shared" si="46"/>
        <v>no</v>
      </c>
    </row>
    <row r="280" spans="13:18" ht="12.75">
      <c r="M280" s="10">
        <f t="shared" si="41"/>
        <v>36.32000000000065</v>
      </c>
      <c r="N280">
        <f t="shared" si="45"/>
        <v>102.90251996112701</v>
      </c>
      <c r="O280">
        <f t="shared" si="42"/>
        <v>102.902519961127</v>
      </c>
      <c r="P280" s="10">
        <f t="shared" si="43"/>
        <v>0</v>
      </c>
      <c r="Q280" s="10">
        <f t="shared" si="44"/>
      </c>
      <c r="R280" s="10" t="str">
        <f t="shared" si="46"/>
        <v>no</v>
      </c>
    </row>
    <row r="281" spans="13:18" ht="12.75">
      <c r="M281" s="10">
        <f t="shared" si="41"/>
        <v>36.34000000000065</v>
      </c>
      <c r="N281">
        <f t="shared" si="45"/>
        <v>103.06539069637353</v>
      </c>
      <c r="O281">
        <f t="shared" si="42"/>
        <v>103.0653906963735</v>
      </c>
      <c r="P281" s="10">
        <f t="shared" si="43"/>
        <v>0</v>
      </c>
      <c r="Q281" s="10">
        <f t="shared" si="44"/>
      </c>
      <c r="R281" s="10" t="str">
        <f t="shared" si="46"/>
        <v>no</v>
      </c>
    </row>
    <row r="282" spans="13:18" ht="12.75">
      <c r="M282" s="10">
        <f t="shared" si="41"/>
        <v>36.36000000000065</v>
      </c>
      <c r="N282">
        <f t="shared" si="45"/>
        <v>103.22826143162001</v>
      </c>
      <c r="O282">
        <f t="shared" si="42"/>
        <v>103.22826143162</v>
      </c>
      <c r="P282" s="10">
        <f t="shared" si="43"/>
        <v>0</v>
      </c>
      <c r="Q282" s="10">
        <f t="shared" si="44"/>
      </c>
      <c r="R282" s="10" t="str">
        <f t="shared" si="46"/>
        <v>no</v>
      </c>
    </row>
    <row r="283" spans="13:18" ht="12.75">
      <c r="M283" s="10">
        <f t="shared" si="41"/>
        <v>36.380000000000656</v>
      </c>
      <c r="N283">
        <f t="shared" si="45"/>
        <v>103.39113216686647</v>
      </c>
      <c r="O283">
        <f t="shared" si="42"/>
        <v>103.3911321668665</v>
      </c>
      <c r="P283" s="10">
        <f t="shared" si="43"/>
        <v>0</v>
      </c>
      <c r="Q283" s="10">
        <f t="shared" si="44"/>
      </c>
      <c r="R283" s="10" t="str">
        <f t="shared" si="46"/>
        <v>no</v>
      </c>
    </row>
    <row r="284" spans="13:18" ht="12.75">
      <c r="M284" s="10">
        <f t="shared" si="41"/>
        <v>36.40000000000066</v>
      </c>
      <c r="N284">
        <f t="shared" si="45"/>
        <v>103.55400290211296</v>
      </c>
      <c r="O284">
        <f t="shared" si="42"/>
        <v>103.55400290211298</v>
      </c>
      <c r="P284" s="10">
        <f t="shared" si="43"/>
        <v>0</v>
      </c>
      <c r="Q284" s="10">
        <f t="shared" si="44"/>
      </c>
      <c r="R284" s="10" t="str">
        <f t="shared" si="46"/>
        <v>no</v>
      </c>
    </row>
    <row r="285" spans="13:18" ht="12.75">
      <c r="M285" s="10">
        <f t="shared" si="41"/>
        <v>36.42000000000066</v>
      </c>
      <c r="N285">
        <f t="shared" si="45"/>
        <v>103.7168736373595</v>
      </c>
      <c r="O285">
        <f t="shared" si="42"/>
        <v>103.71687363735951</v>
      </c>
      <c r="P285" s="10">
        <f t="shared" si="43"/>
        <v>0</v>
      </c>
      <c r="Q285" s="10">
        <f t="shared" si="44"/>
      </c>
      <c r="R285" s="10" t="str">
        <f t="shared" si="46"/>
        <v>no</v>
      </c>
    </row>
    <row r="286" spans="13:18" ht="12.75">
      <c r="M286" s="10">
        <f t="shared" si="41"/>
        <v>36.440000000000666</v>
      </c>
      <c r="N286">
        <f t="shared" si="45"/>
        <v>103.87974437260601</v>
      </c>
      <c r="O286">
        <f t="shared" si="42"/>
        <v>103.87974437260598</v>
      </c>
      <c r="P286" s="10">
        <f t="shared" si="43"/>
        <v>0</v>
      </c>
      <c r="Q286" s="10">
        <f t="shared" si="44"/>
      </c>
      <c r="R286" s="10" t="str">
        <f t="shared" si="46"/>
        <v>no</v>
      </c>
    </row>
    <row r="287" spans="13:18" ht="12.75">
      <c r="M287" s="10">
        <f t="shared" si="41"/>
        <v>36.46000000000067</v>
      </c>
      <c r="N287">
        <f t="shared" si="45"/>
        <v>104.0426151078525</v>
      </c>
      <c r="O287">
        <f t="shared" si="42"/>
        <v>104.04261510785247</v>
      </c>
      <c r="P287" s="10">
        <f t="shared" si="43"/>
        <v>0</v>
      </c>
      <c r="Q287" s="10">
        <f t="shared" si="44"/>
      </c>
      <c r="R287" s="10" t="str">
        <f t="shared" si="46"/>
        <v>no</v>
      </c>
    </row>
    <row r="288" spans="13:18" ht="12.75">
      <c r="M288" s="10">
        <f t="shared" si="41"/>
        <v>36.48000000000067</v>
      </c>
      <c r="N288">
        <f t="shared" si="45"/>
        <v>104.20548584309896</v>
      </c>
      <c r="O288">
        <f t="shared" si="42"/>
        <v>104.20548584309898</v>
      </c>
      <c r="P288" s="10">
        <f t="shared" si="43"/>
        <v>0</v>
      </c>
      <c r="Q288" s="10">
        <f t="shared" si="44"/>
      </c>
      <c r="R288" s="10" t="str">
        <f t="shared" si="46"/>
        <v>no</v>
      </c>
    </row>
    <row r="289" spans="13:18" ht="12.75">
      <c r="M289" s="10">
        <f t="shared" si="41"/>
        <v>36.500000000000675</v>
      </c>
      <c r="N289">
        <f t="shared" si="45"/>
        <v>104.3683565783455</v>
      </c>
      <c r="O289">
        <f t="shared" si="42"/>
        <v>104.3683565783455</v>
      </c>
      <c r="P289" s="10">
        <f t="shared" si="43"/>
        <v>0</v>
      </c>
      <c r="Q289" s="10">
        <f t="shared" si="44"/>
      </c>
      <c r="R289" s="10" t="str">
        <f t="shared" si="46"/>
        <v>no</v>
      </c>
    </row>
    <row r="290" spans="13:18" ht="12.75">
      <c r="M290" s="10">
        <f t="shared" si="41"/>
        <v>36.52000000000068</v>
      </c>
      <c r="N290">
        <f t="shared" si="45"/>
        <v>104.53122731359198</v>
      </c>
      <c r="O290">
        <f t="shared" si="42"/>
        <v>104.531227313592</v>
      </c>
      <c r="P290" s="10">
        <f t="shared" si="43"/>
        <v>0</v>
      </c>
      <c r="Q290" s="10">
        <f t="shared" si="44"/>
      </c>
      <c r="R290" s="10" t="str">
        <f t="shared" si="46"/>
        <v>no</v>
      </c>
    </row>
    <row r="291" spans="13:18" ht="12.75">
      <c r="M291" s="10">
        <f t="shared" si="41"/>
        <v>36.54000000000068</v>
      </c>
      <c r="N291">
        <f t="shared" si="45"/>
        <v>104.6940980488385</v>
      </c>
      <c r="O291">
        <f t="shared" si="42"/>
        <v>104.69409804883847</v>
      </c>
      <c r="P291" s="10">
        <f t="shared" si="43"/>
        <v>0</v>
      </c>
      <c r="Q291" s="10">
        <f t="shared" si="44"/>
      </c>
      <c r="R291" s="10" t="str">
        <f t="shared" si="46"/>
        <v>no</v>
      </c>
    </row>
    <row r="292" spans="13:18" ht="12.75">
      <c r="M292" s="10">
        <f t="shared" si="41"/>
        <v>36.560000000000684</v>
      </c>
      <c r="N292">
        <f t="shared" si="45"/>
        <v>104.85696878408498</v>
      </c>
      <c r="O292">
        <f t="shared" si="42"/>
        <v>104.85696878408496</v>
      </c>
      <c r="P292" s="10">
        <f t="shared" si="43"/>
        <v>0</v>
      </c>
      <c r="Q292" s="10">
        <f t="shared" si="44"/>
      </c>
      <c r="R292" s="10" t="str">
        <f t="shared" si="46"/>
        <v>no</v>
      </c>
    </row>
    <row r="293" spans="13:18" ht="12.75">
      <c r="M293" s="10">
        <f t="shared" si="41"/>
        <v>36.58000000000069</v>
      </c>
      <c r="N293">
        <f t="shared" si="45"/>
        <v>105.0198395193315</v>
      </c>
      <c r="O293">
        <f t="shared" si="42"/>
        <v>105.01983951933148</v>
      </c>
      <c r="P293" s="10">
        <f t="shared" si="43"/>
        <v>0</v>
      </c>
      <c r="Q293" s="10">
        <f t="shared" si="44"/>
      </c>
      <c r="R293" s="10" t="str">
        <f t="shared" si="46"/>
        <v>no</v>
      </c>
    </row>
    <row r="294" spans="13:18" ht="12.75">
      <c r="M294" s="10">
        <f t="shared" si="41"/>
        <v>36.60000000000069</v>
      </c>
      <c r="N294">
        <f t="shared" si="45"/>
        <v>105.18271025457798</v>
      </c>
      <c r="O294">
        <f t="shared" si="42"/>
        <v>105.18271025457796</v>
      </c>
      <c r="P294" s="10">
        <f t="shared" si="43"/>
        <v>0</v>
      </c>
      <c r="Q294" s="10">
        <f t="shared" si="44"/>
      </c>
      <c r="R294" s="10" t="str">
        <f t="shared" si="46"/>
        <v>no</v>
      </c>
    </row>
    <row r="295" spans="13:18" ht="12.75">
      <c r="M295" s="10">
        <f t="shared" si="41"/>
        <v>36.620000000000694</v>
      </c>
      <c r="N295">
        <f t="shared" si="45"/>
        <v>105.34558098982447</v>
      </c>
      <c r="O295">
        <f t="shared" si="42"/>
        <v>105.34558098982448</v>
      </c>
      <c r="P295" s="10">
        <f t="shared" si="43"/>
        <v>0</v>
      </c>
      <c r="Q295" s="10">
        <f t="shared" si="44"/>
      </c>
      <c r="R295" s="10" t="str">
        <f t="shared" si="46"/>
        <v>no</v>
      </c>
    </row>
    <row r="296" spans="13:18" ht="12.75">
      <c r="M296" s="10">
        <f t="shared" si="41"/>
        <v>36.6400000000007</v>
      </c>
      <c r="N296">
        <f t="shared" si="45"/>
        <v>105.50845172507098</v>
      </c>
      <c r="O296">
        <f t="shared" si="42"/>
        <v>105.50845172507096</v>
      </c>
      <c r="P296" s="10">
        <f t="shared" si="43"/>
        <v>0</v>
      </c>
      <c r="Q296" s="10">
        <f t="shared" si="44"/>
      </c>
      <c r="R296" s="10" t="str">
        <f t="shared" si="46"/>
        <v>no</v>
      </c>
    </row>
    <row r="297" spans="13:18" ht="12.75">
      <c r="M297" s="10">
        <f t="shared" si="41"/>
        <v>36.6600000000007</v>
      </c>
      <c r="N297">
        <f t="shared" si="45"/>
        <v>105.67132246031747</v>
      </c>
      <c r="O297">
        <f t="shared" si="42"/>
        <v>105.67132246031747</v>
      </c>
      <c r="P297" s="10">
        <f t="shared" si="43"/>
        <v>0</v>
      </c>
      <c r="Q297" s="10">
        <f t="shared" si="44"/>
      </c>
      <c r="R297" s="10" t="str">
        <f t="shared" si="46"/>
        <v>no</v>
      </c>
    </row>
    <row r="298" spans="13:18" ht="12.75">
      <c r="M298" s="10">
        <f t="shared" si="41"/>
        <v>36.6800000000007</v>
      </c>
      <c r="N298">
        <f t="shared" si="45"/>
        <v>105.83419319556398</v>
      </c>
      <c r="O298">
        <f t="shared" si="42"/>
        <v>105.83419319556398</v>
      </c>
      <c r="P298" s="10">
        <f t="shared" si="43"/>
        <v>0</v>
      </c>
      <c r="Q298" s="10">
        <f t="shared" si="44"/>
      </c>
      <c r="R298" s="10" t="str">
        <f t="shared" si="46"/>
        <v>no</v>
      </c>
    </row>
    <row r="299" spans="13:18" ht="12.75">
      <c r="M299" s="10">
        <f t="shared" si="41"/>
        <v>36.700000000000706</v>
      </c>
      <c r="N299">
        <f t="shared" si="45"/>
        <v>105.99706393081047</v>
      </c>
      <c r="O299">
        <f t="shared" si="42"/>
        <v>105.99706393081044</v>
      </c>
      <c r="P299" s="10">
        <f t="shared" si="43"/>
        <v>0</v>
      </c>
      <c r="Q299" s="10">
        <f t="shared" si="44"/>
      </c>
      <c r="R299" s="10" t="str">
        <f t="shared" si="46"/>
        <v>no</v>
      </c>
    </row>
    <row r="300" spans="13:18" ht="12.75">
      <c r="M300" s="10">
        <f t="shared" si="41"/>
        <v>36.72000000000071</v>
      </c>
      <c r="N300">
        <f t="shared" si="45"/>
        <v>106.15993466605696</v>
      </c>
      <c r="O300">
        <f t="shared" si="42"/>
        <v>106.15993466605696</v>
      </c>
      <c r="P300" s="10">
        <f t="shared" si="43"/>
        <v>0</v>
      </c>
      <c r="Q300" s="10">
        <f t="shared" si="44"/>
      </c>
      <c r="R300" s="10" t="str">
        <f t="shared" si="46"/>
        <v>no</v>
      </c>
    </row>
    <row r="301" spans="13:18" ht="12.75">
      <c r="M301" s="10">
        <f t="shared" si="41"/>
        <v>36.74000000000071</v>
      </c>
      <c r="N301">
        <f t="shared" si="45"/>
        <v>106.32280540130347</v>
      </c>
      <c r="O301">
        <f t="shared" si="42"/>
        <v>106.32280540130347</v>
      </c>
      <c r="P301" s="10">
        <f t="shared" si="43"/>
        <v>0</v>
      </c>
      <c r="Q301" s="10">
        <f t="shared" si="44"/>
      </c>
      <c r="R301" s="10" t="str">
        <f t="shared" si="46"/>
        <v>no</v>
      </c>
    </row>
    <row r="302" spans="13:18" ht="12.75">
      <c r="M302" s="10">
        <f t="shared" si="41"/>
        <v>36.760000000000716</v>
      </c>
      <c r="N302">
        <f t="shared" si="45"/>
        <v>106.48567613654996</v>
      </c>
      <c r="O302">
        <f t="shared" si="42"/>
        <v>106.48567613654996</v>
      </c>
      <c r="P302" s="10">
        <f t="shared" si="43"/>
        <v>0</v>
      </c>
      <c r="Q302" s="10">
        <f t="shared" si="44"/>
      </c>
      <c r="R302" s="10" t="str">
        <f t="shared" si="46"/>
        <v>no</v>
      </c>
    </row>
    <row r="303" spans="13:18" ht="12.75">
      <c r="M303" s="10">
        <f t="shared" si="41"/>
        <v>36.78000000000072</v>
      </c>
      <c r="N303">
        <f t="shared" si="45"/>
        <v>106.64854687179647</v>
      </c>
      <c r="O303">
        <f t="shared" si="42"/>
        <v>106.64854687179648</v>
      </c>
      <c r="P303" s="10">
        <f t="shared" si="43"/>
        <v>0</v>
      </c>
      <c r="Q303" s="10">
        <f t="shared" si="44"/>
      </c>
      <c r="R303" s="10" t="str">
        <f t="shared" si="46"/>
        <v>no</v>
      </c>
    </row>
    <row r="304" spans="13:18" ht="12.75">
      <c r="M304" s="10">
        <f t="shared" si="41"/>
        <v>36.80000000000072</v>
      </c>
      <c r="N304">
        <f t="shared" si="45"/>
        <v>106.81141760704296</v>
      </c>
      <c r="O304">
        <f t="shared" si="42"/>
        <v>106.81141760704296</v>
      </c>
      <c r="P304" s="10">
        <f t="shared" si="43"/>
        <v>0</v>
      </c>
      <c r="Q304" s="10">
        <f t="shared" si="44"/>
      </c>
      <c r="R304" s="10" t="str">
        <f t="shared" si="46"/>
        <v>no</v>
      </c>
    </row>
    <row r="305" spans="13:18" ht="12.75">
      <c r="M305" s="10">
        <f t="shared" si="41"/>
        <v>36.820000000000725</v>
      </c>
      <c r="N305">
        <f t="shared" si="45"/>
        <v>106.97428834228944</v>
      </c>
      <c r="O305">
        <f t="shared" si="42"/>
        <v>106.97428834228946</v>
      </c>
      <c r="P305" s="10">
        <f t="shared" si="43"/>
        <v>0</v>
      </c>
      <c r="Q305" s="10">
        <f t="shared" si="44"/>
      </c>
      <c r="R305" s="10" t="str">
        <f t="shared" si="46"/>
        <v>no</v>
      </c>
    </row>
    <row r="306" spans="13:18" ht="12.75">
      <c r="M306" s="10">
        <f t="shared" si="41"/>
        <v>36.84000000000073</v>
      </c>
      <c r="N306">
        <f t="shared" si="45"/>
        <v>107.13715907753596</v>
      </c>
      <c r="O306">
        <f t="shared" si="42"/>
        <v>107.13715907753598</v>
      </c>
      <c r="P306" s="10">
        <f t="shared" si="43"/>
        <v>0</v>
      </c>
      <c r="Q306" s="10">
        <f t="shared" si="44"/>
      </c>
      <c r="R306" s="10" t="str">
        <f t="shared" si="46"/>
        <v>no</v>
      </c>
    </row>
    <row r="307" spans="13:18" ht="12.75">
      <c r="M307" s="10">
        <f t="shared" si="41"/>
        <v>36.86000000000073</v>
      </c>
      <c r="N307">
        <f t="shared" si="45"/>
        <v>107.3000298127825</v>
      </c>
      <c r="O307">
        <f t="shared" si="42"/>
        <v>107.30002981278247</v>
      </c>
      <c r="P307" s="10">
        <f t="shared" si="43"/>
        <v>0</v>
      </c>
      <c r="Q307" s="10">
        <f t="shared" si="44"/>
      </c>
      <c r="R307" s="10" t="str">
        <f t="shared" si="46"/>
        <v>no</v>
      </c>
    </row>
    <row r="308" spans="13:18" ht="12.75">
      <c r="M308" s="10">
        <f t="shared" si="41"/>
        <v>36.880000000000734</v>
      </c>
      <c r="N308">
        <f t="shared" si="45"/>
        <v>107.46290054802895</v>
      </c>
      <c r="O308">
        <f t="shared" si="42"/>
        <v>107.46290054802895</v>
      </c>
      <c r="P308" s="10">
        <f t="shared" si="43"/>
        <v>0</v>
      </c>
      <c r="Q308" s="10">
        <f t="shared" si="44"/>
      </c>
      <c r="R308" s="10" t="str">
        <f t="shared" si="46"/>
        <v>no</v>
      </c>
    </row>
    <row r="309" spans="13:18" ht="12.75">
      <c r="M309" s="10">
        <f t="shared" si="41"/>
        <v>36.90000000000074</v>
      </c>
      <c r="N309">
        <f t="shared" si="45"/>
        <v>107.62577128327544</v>
      </c>
      <c r="O309">
        <f t="shared" si="42"/>
        <v>107.62577128327547</v>
      </c>
      <c r="P309" s="10">
        <f t="shared" si="43"/>
        <v>0</v>
      </c>
      <c r="Q309" s="10">
        <f t="shared" si="44"/>
      </c>
      <c r="R309" s="10" t="str">
        <f t="shared" si="46"/>
        <v>no</v>
      </c>
    </row>
    <row r="310" spans="13:18" ht="12.75">
      <c r="M310" s="10">
        <f t="shared" si="41"/>
        <v>36.92000000000074</v>
      </c>
      <c r="N310">
        <f t="shared" si="45"/>
        <v>107.78864201852193</v>
      </c>
      <c r="O310">
        <f t="shared" si="42"/>
        <v>107.78864201852195</v>
      </c>
      <c r="P310" s="10">
        <f t="shared" si="43"/>
        <v>0</v>
      </c>
      <c r="Q310" s="10">
        <f t="shared" si="44"/>
      </c>
      <c r="R310" s="10" t="str">
        <f t="shared" si="46"/>
        <v>no</v>
      </c>
    </row>
    <row r="311" spans="13:18" ht="12.75">
      <c r="M311" s="10">
        <f t="shared" si="41"/>
        <v>36.940000000000744</v>
      </c>
      <c r="N311">
        <f t="shared" si="45"/>
        <v>107.95151275376844</v>
      </c>
      <c r="O311">
        <f t="shared" si="42"/>
        <v>107.95151275376844</v>
      </c>
      <c r="P311" s="10">
        <f t="shared" si="43"/>
        <v>0</v>
      </c>
      <c r="Q311" s="10">
        <f t="shared" si="44"/>
      </c>
      <c r="R311" s="10" t="str">
        <f t="shared" si="46"/>
        <v>no</v>
      </c>
    </row>
    <row r="312" spans="13:18" ht="12.75">
      <c r="M312" s="10">
        <f t="shared" si="41"/>
        <v>36.96000000000075</v>
      </c>
      <c r="N312">
        <f t="shared" si="45"/>
        <v>108.11438348901498</v>
      </c>
      <c r="O312">
        <f t="shared" si="42"/>
        <v>108.11438348901498</v>
      </c>
      <c r="P312" s="10">
        <f t="shared" si="43"/>
        <v>0</v>
      </c>
      <c r="Q312" s="10">
        <f t="shared" si="44"/>
      </c>
      <c r="R312" s="10" t="str">
        <f t="shared" si="46"/>
        <v>no</v>
      </c>
    </row>
    <row r="313" spans="13:18" ht="12.75">
      <c r="M313" s="10">
        <f t="shared" si="41"/>
        <v>36.98000000000075</v>
      </c>
      <c r="N313">
        <f t="shared" si="45"/>
        <v>108.27725422426147</v>
      </c>
      <c r="O313">
        <f t="shared" si="42"/>
        <v>108.27725422426145</v>
      </c>
      <c r="P313" s="10">
        <f t="shared" si="43"/>
        <v>0</v>
      </c>
      <c r="Q313" s="10">
        <f t="shared" si="44"/>
      </c>
      <c r="R313" s="10" t="str">
        <f t="shared" si="46"/>
        <v>no</v>
      </c>
    </row>
    <row r="314" spans="13:18" ht="12.75">
      <c r="M314" s="10">
        <f t="shared" si="41"/>
        <v>37.00000000000075</v>
      </c>
      <c r="N314">
        <f t="shared" si="45"/>
        <v>108.44012495950793</v>
      </c>
      <c r="O314">
        <f t="shared" si="42"/>
        <v>108.44012495950795</v>
      </c>
      <c r="P314" s="10">
        <f t="shared" si="43"/>
        <v>0</v>
      </c>
      <c r="Q314" s="10">
        <f t="shared" si="44"/>
      </c>
      <c r="R314" s="10" t="str">
        <f t="shared" si="46"/>
        <v>no</v>
      </c>
    </row>
    <row r="315" spans="13:18" ht="12.75">
      <c r="M315" s="10">
        <f aca="true" t="shared" si="47" ref="M315:M350">M314+deltaP_S</f>
        <v>37.020000000000756</v>
      </c>
      <c r="N315">
        <f t="shared" si="45"/>
        <v>108.60299569475441</v>
      </c>
      <c r="O315">
        <f aca="true" t="shared" si="48" ref="O315:O350">EXP(-(r_/100)*tR_)*(((sinal_pos/100)*(IF(years+(months/12)&lt;0,0,IF(AND(FC_pos*((q_*B_*M315*(EXP(-(delta/100)*2)))-Idp)&lt;Inv,years+(months/12)=0),0,BjStAmericanCall(FC_pos*q_*B_*M315*(EXP(-(delta/100)*2)),Inv+(FC_pos*Idp),years+(months/12),r_/100,delta/100,sigma/100)))))+((1-(sinal_pos/100))*IF(years+(months/12)&lt;0,0,IF(AND(FC_neg*((q_*B_*M315*(EXP(-(delta/100)*2)))-Idp)&lt;Inv,years+(months/12)=0),0,BjStAmericanCall(FC_neg*q_*B_*M315*(EXP(-(delta/100)*2)),Inv+(FC_neg*Idp),years+(months/12),r_/100,delta/100,sigma/100)))))</f>
        <v>108.60299569475444</v>
      </c>
      <c r="P315" s="10">
        <f aca="true" t="shared" si="49" ref="P315:P350">O315-N315</f>
        <v>0</v>
      </c>
      <c r="Q315" s="10">
        <f aca="true" t="shared" si="50" ref="Q315:Q350">IF(AND(Q314="no",P315&lt;=0),"yes",IF(AND(Q314="no",P315&gt;0),"no",""))</f>
      </c>
      <c r="R315" s="10" t="str">
        <f t="shared" si="46"/>
        <v>no</v>
      </c>
    </row>
    <row r="316" spans="13:18" ht="12.75">
      <c r="M316" s="10">
        <f t="shared" si="47"/>
        <v>37.04000000000076</v>
      </c>
      <c r="N316">
        <f t="shared" si="45"/>
        <v>108.76586643000095</v>
      </c>
      <c r="O316">
        <f t="shared" si="48"/>
        <v>108.76586643000094</v>
      </c>
      <c r="P316" s="10">
        <f t="shared" si="49"/>
        <v>0</v>
      </c>
      <c r="Q316" s="10">
        <f t="shared" si="50"/>
      </c>
      <c r="R316" s="10" t="str">
        <f t="shared" si="46"/>
        <v>no</v>
      </c>
    </row>
    <row r="317" spans="13:18" ht="12.75">
      <c r="M317" s="10">
        <f t="shared" si="47"/>
        <v>37.06000000000076</v>
      </c>
      <c r="N317">
        <f t="shared" si="45"/>
        <v>108.92873716524747</v>
      </c>
      <c r="O317">
        <f t="shared" si="48"/>
        <v>108.92873716524744</v>
      </c>
      <c r="P317" s="10">
        <f t="shared" si="49"/>
        <v>0</v>
      </c>
      <c r="Q317" s="10">
        <f t="shared" si="50"/>
      </c>
      <c r="R317" s="10" t="str">
        <f t="shared" si="46"/>
        <v>no</v>
      </c>
    </row>
    <row r="318" spans="13:18" ht="12.75">
      <c r="M318" s="10">
        <f t="shared" si="47"/>
        <v>37.080000000000766</v>
      </c>
      <c r="N318">
        <f t="shared" si="45"/>
        <v>109.09160790049395</v>
      </c>
      <c r="O318">
        <f t="shared" si="48"/>
        <v>109.09160790049394</v>
      </c>
      <c r="P318" s="10">
        <f t="shared" si="49"/>
        <v>0</v>
      </c>
      <c r="Q318" s="10">
        <f t="shared" si="50"/>
      </c>
      <c r="R318" s="10" t="str">
        <f t="shared" si="46"/>
        <v>no</v>
      </c>
    </row>
    <row r="319" spans="13:18" ht="12.75">
      <c r="M319" s="10">
        <f t="shared" si="47"/>
        <v>37.10000000000077</v>
      </c>
      <c r="N319">
        <f t="shared" si="45"/>
        <v>109.25447863574041</v>
      </c>
      <c r="O319">
        <f t="shared" si="48"/>
        <v>109.25447863574044</v>
      </c>
      <c r="P319" s="10">
        <f t="shared" si="49"/>
        <v>0</v>
      </c>
      <c r="Q319" s="10">
        <f t="shared" si="50"/>
      </c>
      <c r="R319" s="10" t="str">
        <f t="shared" si="46"/>
        <v>no</v>
      </c>
    </row>
    <row r="320" spans="13:18" ht="12.75">
      <c r="M320" s="10">
        <f t="shared" si="47"/>
        <v>37.12000000000077</v>
      </c>
      <c r="N320">
        <f t="shared" si="45"/>
        <v>109.4173493709869</v>
      </c>
      <c r="O320">
        <f t="shared" si="48"/>
        <v>109.41734937098695</v>
      </c>
      <c r="P320" s="10">
        <f t="shared" si="49"/>
        <v>0</v>
      </c>
      <c r="Q320" s="10">
        <f t="shared" si="50"/>
      </c>
      <c r="R320" s="10" t="str">
        <f t="shared" si="46"/>
        <v>no</v>
      </c>
    </row>
    <row r="321" spans="13:18" ht="12.75">
      <c r="M321" s="10">
        <f t="shared" si="47"/>
        <v>37.140000000000775</v>
      </c>
      <c r="N321">
        <f t="shared" si="45"/>
        <v>109.58022010623344</v>
      </c>
      <c r="O321">
        <f t="shared" si="48"/>
        <v>109.58022010623343</v>
      </c>
      <c r="P321" s="10">
        <f t="shared" si="49"/>
        <v>0</v>
      </c>
      <c r="Q321" s="10">
        <f t="shared" si="50"/>
      </c>
      <c r="R321" s="10" t="str">
        <f t="shared" si="46"/>
        <v>no</v>
      </c>
    </row>
    <row r="322" spans="13:18" ht="12.75">
      <c r="M322" s="10">
        <f t="shared" si="47"/>
        <v>37.16000000000078</v>
      </c>
      <c r="N322">
        <f t="shared" si="45"/>
        <v>109.74309084147995</v>
      </c>
      <c r="O322">
        <f t="shared" si="48"/>
        <v>109.74309084147993</v>
      </c>
      <c r="P322" s="10">
        <f t="shared" si="49"/>
        <v>0</v>
      </c>
      <c r="Q322" s="10">
        <f t="shared" si="50"/>
      </c>
      <c r="R322" s="10" t="str">
        <f t="shared" si="46"/>
        <v>no</v>
      </c>
    </row>
    <row r="323" spans="13:18" ht="12.75">
      <c r="M323" s="10">
        <f t="shared" si="47"/>
        <v>37.18000000000078</v>
      </c>
      <c r="N323">
        <f t="shared" si="45"/>
        <v>109.90596157672644</v>
      </c>
      <c r="O323">
        <f t="shared" si="48"/>
        <v>109.90596157672644</v>
      </c>
      <c r="P323" s="10">
        <f t="shared" si="49"/>
        <v>0</v>
      </c>
      <c r="Q323" s="10">
        <f t="shared" si="50"/>
      </c>
      <c r="R323" s="10" t="str">
        <f t="shared" si="46"/>
        <v>no</v>
      </c>
    </row>
    <row r="324" spans="13:18" ht="12.75">
      <c r="M324" s="10">
        <f t="shared" si="47"/>
        <v>37.200000000000784</v>
      </c>
      <c r="N324">
        <f t="shared" si="45"/>
        <v>110.0688323119729</v>
      </c>
      <c r="O324">
        <f t="shared" si="48"/>
        <v>110.06883231197294</v>
      </c>
      <c r="P324" s="10">
        <f t="shared" si="49"/>
        <v>0</v>
      </c>
      <c r="Q324" s="10">
        <f t="shared" si="50"/>
      </c>
      <c r="R324" s="10" t="str">
        <f t="shared" si="46"/>
        <v>no</v>
      </c>
    </row>
    <row r="325" spans="13:18" ht="12.75">
      <c r="M325" s="10">
        <f t="shared" si="47"/>
        <v>37.22000000000079</v>
      </c>
      <c r="N325">
        <f aca="true" t="shared" si="51" ref="N325:N388">-Inv+((FC0/100)*BjStAmericanCall(q_*B_*M325*(EXP(-(delta/100)*2)),Idp,years+(months/12),r_/100,delta/100,sigma/100))</f>
        <v>110.23170304721938</v>
      </c>
      <c r="O325">
        <f t="shared" si="48"/>
        <v>110.23170304721944</v>
      </c>
      <c r="P325" s="10">
        <f t="shared" si="49"/>
        <v>0</v>
      </c>
      <c r="Q325" s="10">
        <f t="shared" si="50"/>
      </c>
      <c r="R325" s="10" t="str">
        <f aca="true" t="shared" si="52" ref="R325:R388">IF(AND(Q325="no",Q326="yes"),"yes","no")</f>
        <v>no</v>
      </c>
    </row>
    <row r="326" spans="13:18" ht="12.75">
      <c r="M326" s="10">
        <f t="shared" si="47"/>
        <v>37.24000000000079</v>
      </c>
      <c r="N326">
        <f t="shared" si="51"/>
        <v>110.39457378246593</v>
      </c>
      <c r="O326">
        <f t="shared" si="48"/>
        <v>110.39457378246593</v>
      </c>
      <c r="P326" s="10">
        <f t="shared" si="49"/>
        <v>0</v>
      </c>
      <c r="Q326" s="10">
        <f t="shared" si="50"/>
      </c>
      <c r="R326" s="10" t="str">
        <f t="shared" si="52"/>
        <v>no</v>
      </c>
    </row>
    <row r="327" spans="13:18" ht="12.75">
      <c r="M327" s="10">
        <f t="shared" si="47"/>
        <v>37.260000000000794</v>
      </c>
      <c r="N327">
        <f t="shared" si="51"/>
        <v>110.55744451771244</v>
      </c>
      <c r="O327">
        <f t="shared" si="48"/>
        <v>110.55744451771244</v>
      </c>
      <c r="P327" s="10">
        <f t="shared" si="49"/>
        <v>0</v>
      </c>
      <c r="Q327" s="10">
        <f t="shared" si="50"/>
      </c>
      <c r="R327" s="10" t="str">
        <f t="shared" si="52"/>
        <v>no</v>
      </c>
    </row>
    <row r="328" spans="13:18" ht="12.75">
      <c r="M328" s="10">
        <f t="shared" si="47"/>
        <v>37.2800000000008</v>
      </c>
      <c r="N328">
        <f t="shared" si="51"/>
        <v>110.72031525295893</v>
      </c>
      <c r="O328">
        <f t="shared" si="48"/>
        <v>110.7203152529589</v>
      </c>
      <c r="P328" s="10">
        <f t="shared" si="49"/>
        <v>0</v>
      </c>
      <c r="Q328" s="10">
        <f t="shared" si="50"/>
      </c>
      <c r="R328" s="10" t="str">
        <f t="shared" si="52"/>
        <v>no</v>
      </c>
    </row>
    <row r="329" spans="13:18" ht="12.75">
      <c r="M329" s="10">
        <f t="shared" si="47"/>
        <v>37.3000000000008</v>
      </c>
      <c r="N329">
        <f t="shared" si="51"/>
        <v>110.88318598820538</v>
      </c>
      <c r="O329">
        <f t="shared" si="48"/>
        <v>110.88318598820543</v>
      </c>
      <c r="P329" s="10">
        <f t="shared" si="49"/>
        <v>0</v>
      </c>
      <c r="Q329" s="10">
        <f t="shared" si="50"/>
      </c>
      <c r="R329" s="10" t="str">
        <f t="shared" si="52"/>
        <v>no</v>
      </c>
    </row>
    <row r="330" spans="13:18" ht="12.75">
      <c r="M330" s="10">
        <f t="shared" si="47"/>
        <v>37.3200000000008</v>
      </c>
      <c r="N330">
        <f t="shared" si="51"/>
        <v>111.04605672345193</v>
      </c>
      <c r="O330">
        <f t="shared" si="48"/>
        <v>111.04605672345193</v>
      </c>
      <c r="P330" s="10">
        <f t="shared" si="49"/>
        <v>0</v>
      </c>
      <c r="Q330" s="10">
        <f t="shared" si="50"/>
      </c>
      <c r="R330" s="10" t="str">
        <f t="shared" si="52"/>
        <v>no</v>
      </c>
    </row>
    <row r="331" spans="13:18" ht="12.75">
      <c r="M331" s="10">
        <f t="shared" si="47"/>
        <v>37.340000000000806</v>
      </c>
      <c r="N331">
        <f t="shared" si="51"/>
        <v>111.20892745869841</v>
      </c>
      <c r="O331">
        <f t="shared" si="48"/>
        <v>111.20892745869843</v>
      </c>
      <c r="P331" s="10">
        <f t="shared" si="49"/>
        <v>0</v>
      </c>
      <c r="Q331" s="10">
        <f t="shared" si="50"/>
      </c>
      <c r="R331" s="10" t="str">
        <f t="shared" si="52"/>
        <v>no</v>
      </c>
    </row>
    <row r="332" spans="13:18" ht="12.75">
      <c r="M332" s="10">
        <f t="shared" si="47"/>
        <v>37.36000000000081</v>
      </c>
      <c r="N332">
        <f t="shared" si="51"/>
        <v>111.37179819394493</v>
      </c>
      <c r="O332">
        <f t="shared" si="48"/>
        <v>111.37179819394493</v>
      </c>
      <c r="P332" s="10">
        <f t="shared" si="49"/>
        <v>0</v>
      </c>
      <c r="Q332" s="10">
        <f t="shared" si="50"/>
      </c>
      <c r="R332" s="10" t="str">
        <f t="shared" si="52"/>
        <v>no</v>
      </c>
    </row>
    <row r="333" spans="13:18" ht="12.75">
      <c r="M333" s="10">
        <f t="shared" si="47"/>
        <v>37.38000000000081</v>
      </c>
      <c r="N333">
        <f t="shared" si="51"/>
        <v>111.53466892919141</v>
      </c>
      <c r="O333">
        <f t="shared" si="48"/>
        <v>111.5346689291914</v>
      </c>
      <c r="P333" s="10">
        <f t="shared" si="49"/>
        <v>0</v>
      </c>
      <c r="Q333" s="10">
        <f t="shared" si="50"/>
      </c>
      <c r="R333" s="10" t="str">
        <f t="shared" si="52"/>
        <v>no</v>
      </c>
    </row>
    <row r="334" spans="13:18" ht="12.75">
      <c r="M334" s="10">
        <f t="shared" si="47"/>
        <v>37.400000000000816</v>
      </c>
      <c r="N334">
        <f t="shared" si="51"/>
        <v>111.69753966443787</v>
      </c>
      <c r="O334">
        <f t="shared" si="48"/>
        <v>111.6975396644379</v>
      </c>
      <c r="P334" s="10">
        <f t="shared" si="49"/>
        <v>0</v>
      </c>
      <c r="Q334" s="10">
        <f t="shared" si="50"/>
      </c>
      <c r="R334" s="10" t="str">
        <f t="shared" si="52"/>
        <v>no</v>
      </c>
    </row>
    <row r="335" spans="13:18" ht="12.75">
      <c r="M335" s="10">
        <f t="shared" si="47"/>
        <v>37.42000000000082</v>
      </c>
      <c r="N335">
        <f t="shared" si="51"/>
        <v>111.86041039968441</v>
      </c>
      <c r="O335">
        <f t="shared" si="48"/>
        <v>111.86041039968444</v>
      </c>
      <c r="P335" s="10">
        <f t="shared" si="49"/>
        <v>0</v>
      </c>
      <c r="Q335" s="10">
        <f t="shared" si="50"/>
      </c>
      <c r="R335" s="10" t="str">
        <f t="shared" si="52"/>
        <v>no</v>
      </c>
    </row>
    <row r="336" spans="13:18" ht="12.75">
      <c r="M336" s="10">
        <f t="shared" si="47"/>
        <v>37.44000000000082</v>
      </c>
      <c r="N336">
        <f t="shared" si="51"/>
        <v>112.0232811349309</v>
      </c>
      <c r="O336">
        <f t="shared" si="48"/>
        <v>112.0232811349309</v>
      </c>
      <c r="P336" s="10">
        <f t="shared" si="49"/>
        <v>0</v>
      </c>
      <c r="Q336" s="10">
        <f t="shared" si="50"/>
      </c>
      <c r="R336" s="10" t="str">
        <f t="shared" si="52"/>
        <v>no</v>
      </c>
    </row>
    <row r="337" spans="13:18" ht="12.75">
      <c r="M337" s="10">
        <f t="shared" si="47"/>
        <v>37.460000000000825</v>
      </c>
      <c r="N337">
        <f t="shared" si="51"/>
        <v>112.18615187017741</v>
      </c>
      <c r="O337">
        <f t="shared" si="48"/>
        <v>112.18615187017741</v>
      </c>
      <c r="P337" s="10">
        <f t="shared" si="49"/>
        <v>0</v>
      </c>
      <c r="Q337" s="10">
        <f t="shared" si="50"/>
      </c>
      <c r="R337" s="10" t="str">
        <f t="shared" si="52"/>
        <v>no</v>
      </c>
    </row>
    <row r="338" spans="13:18" ht="12.75">
      <c r="M338" s="10">
        <f t="shared" si="47"/>
        <v>37.48000000000083</v>
      </c>
      <c r="N338">
        <f t="shared" si="51"/>
        <v>112.3490226054239</v>
      </c>
      <c r="O338">
        <f t="shared" si="48"/>
        <v>112.34902260542388</v>
      </c>
      <c r="P338" s="10">
        <f t="shared" si="49"/>
        <v>0</v>
      </c>
      <c r="Q338" s="10">
        <f t="shared" si="50"/>
      </c>
      <c r="R338" s="10" t="str">
        <f t="shared" si="52"/>
        <v>no</v>
      </c>
    </row>
    <row r="339" spans="13:18" ht="12.75">
      <c r="M339" s="10">
        <f t="shared" si="47"/>
        <v>37.50000000000083</v>
      </c>
      <c r="N339">
        <f t="shared" si="51"/>
        <v>112.51189334067041</v>
      </c>
      <c r="O339">
        <f t="shared" si="48"/>
        <v>112.51189334067041</v>
      </c>
      <c r="P339" s="10">
        <f t="shared" si="49"/>
        <v>0</v>
      </c>
      <c r="Q339" s="10">
        <f t="shared" si="50"/>
      </c>
      <c r="R339" s="10" t="str">
        <f t="shared" si="52"/>
        <v>no</v>
      </c>
    </row>
    <row r="340" spans="13:18" ht="12.75">
      <c r="M340" s="10">
        <f t="shared" si="47"/>
        <v>37.520000000000834</v>
      </c>
      <c r="N340">
        <f t="shared" si="51"/>
        <v>112.6747640759169</v>
      </c>
      <c r="O340">
        <f t="shared" si="48"/>
        <v>112.6747640759169</v>
      </c>
      <c r="P340" s="10">
        <f t="shared" si="49"/>
        <v>0</v>
      </c>
      <c r="Q340" s="10">
        <f t="shared" si="50"/>
      </c>
      <c r="R340" s="10" t="str">
        <f t="shared" si="52"/>
        <v>no</v>
      </c>
    </row>
    <row r="341" spans="13:18" ht="12.75">
      <c r="M341" s="10">
        <f t="shared" si="47"/>
        <v>37.54000000000084</v>
      </c>
      <c r="N341">
        <f t="shared" si="51"/>
        <v>112.83763481116338</v>
      </c>
      <c r="O341">
        <f t="shared" si="48"/>
        <v>112.83763481116338</v>
      </c>
      <c r="P341" s="10">
        <f t="shared" si="49"/>
        <v>0</v>
      </c>
      <c r="Q341" s="10">
        <f t="shared" si="50"/>
      </c>
      <c r="R341" s="10" t="str">
        <f t="shared" si="52"/>
        <v>no</v>
      </c>
    </row>
    <row r="342" spans="13:18" ht="12.75">
      <c r="M342" s="10">
        <f t="shared" si="47"/>
        <v>37.56000000000084</v>
      </c>
      <c r="N342">
        <f t="shared" si="51"/>
        <v>113.0005055464099</v>
      </c>
      <c r="O342">
        <f t="shared" si="48"/>
        <v>113.0005055464099</v>
      </c>
      <c r="P342" s="10">
        <f t="shared" si="49"/>
        <v>0</v>
      </c>
      <c r="Q342" s="10">
        <f t="shared" si="50"/>
      </c>
      <c r="R342" s="10" t="str">
        <f t="shared" si="52"/>
        <v>no</v>
      </c>
    </row>
    <row r="343" spans="13:18" ht="12.75">
      <c r="M343" s="10">
        <f t="shared" si="47"/>
        <v>37.580000000000844</v>
      </c>
      <c r="N343">
        <f t="shared" si="51"/>
        <v>113.16337628165638</v>
      </c>
      <c r="O343">
        <f t="shared" si="48"/>
        <v>113.16337628165638</v>
      </c>
      <c r="P343" s="10">
        <f t="shared" si="49"/>
        <v>0</v>
      </c>
      <c r="Q343" s="10">
        <f t="shared" si="50"/>
      </c>
      <c r="R343" s="10" t="str">
        <f t="shared" si="52"/>
        <v>no</v>
      </c>
    </row>
    <row r="344" spans="13:18" ht="12.75">
      <c r="M344" s="10">
        <f t="shared" si="47"/>
        <v>37.60000000000085</v>
      </c>
      <c r="N344">
        <f t="shared" si="51"/>
        <v>113.3262470169029</v>
      </c>
      <c r="O344">
        <f t="shared" si="48"/>
        <v>113.32624701690288</v>
      </c>
      <c r="P344" s="10">
        <f t="shared" si="49"/>
        <v>0</v>
      </c>
      <c r="Q344" s="10">
        <f t="shared" si="50"/>
      </c>
      <c r="R344" s="10" t="str">
        <f t="shared" si="52"/>
        <v>no</v>
      </c>
    </row>
    <row r="345" spans="13:18" ht="12.75">
      <c r="M345" s="10">
        <f t="shared" si="47"/>
        <v>37.62000000000085</v>
      </c>
      <c r="N345">
        <f t="shared" si="51"/>
        <v>113.48911775214938</v>
      </c>
      <c r="O345">
        <f t="shared" si="48"/>
        <v>113.48911775214938</v>
      </c>
      <c r="P345" s="10">
        <f t="shared" si="49"/>
        <v>0</v>
      </c>
      <c r="Q345" s="10">
        <f t="shared" si="50"/>
      </c>
      <c r="R345" s="10" t="str">
        <f t="shared" si="52"/>
        <v>no</v>
      </c>
    </row>
    <row r="346" spans="13:18" ht="12.75">
      <c r="M346" s="10">
        <f t="shared" si="47"/>
        <v>37.64000000000085</v>
      </c>
      <c r="N346">
        <f t="shared" si="51"/>
        <v>113.65198848739587</v>
      </c>
      <c r="O346">
        <f t="shared" si="48"/>
        <v>113.6519884873959</v>
      </c>
      <c r="P346" s="10">
        <f t="shared" si="49"/>
        <v>0</v>
      </c>
      <c r="Q346" s="10">
        <f t="shared" si="50"/>
      </c>
      <c r="R346" s="10" t="str">
        <f t="shared" si="52"/>
        <v>no</v>
      </c>
    </row>
    <row r="347" spans="13:18" ht="12.75">
      <c r="M347" s="10">
        <f t="shared" si="47"/>
        <v>37.660000000000856</v>
      </c>
      <c r="N347">
        <f t="shared" si="51"/>
        <v>113.81485922264238</v>
      </c>
      <c r="O347">
        <f t="shared" si="48"/>
        <v>113.81485922264241</v>
      </c>
      <c r="P347" s="10">
        <f t="shared" si="49"/>
        <v>0</v>
      </c>
      <c r="Q347" s="10">
        <f t="shared" si="50"/>
      </c>
      <c r="R347" s="10" t="str">
        <f t="shared" si="52"/>
        <v>no</v>
      </c>
    </row>
    <row r="348" spans="13:18" ht="12.75">
      <c r="M348" s="10">
        <f t="shared" si="47"/>
        <v>37.68000000000086</v>
      </c>
      <c r="N348">
        <f t="shared" si="51"/>
        <v>113.97772995788887</v>
      </c>
      <c r="O348">
        <f t="shared" si="48"/>
        <v>113.97772995788887</v>
      </c>
      <c r="P348" s="10">
        <f t="shared" si="49"/>
        <v>0</v>
      </c>
      <c r="Q348" s="10">
        <f t="shared" si="50"/>
      </c>
      <c r="R348" s="10" t="str">
        <f t="shared" si="52"/>
        <v>no</v>
      </c>
    </row>
    <row r="349" spans="13:18" ht="12.75">
      <c r="M349" s="10">
        <f t="shared" si="47"/>
        <v>37.70000000000086</v>
      </c>
      <c r="N349">
        <f t="shared" si="51"/>
        <v>114.14060069313538</v>
      </c>
      <c r="O349">
        <f t="shared" si="48"/>
        <v>114.14060069313537</v>
      </c>
      <c r="P349" s="10">
        <f t="shared" si="49"/>
        <v>0</v>
      </c>
      <c r="Q349" s="10">
        <f t="shared" si="50"/>
      </c>
      <c r="R349" s="10" t="str">
        <f t="shared" si="52"/>
        <v>no</v>
      </c>
    </row>
    <row r="350" spans="13:18" ht="12.75">
      <c r="M350" s="10">
        <f t="shared" si="47"/>
        <v>37.720000000000866</v>
      </c>
      <c r="N350">
        <f t="shared" si="51"/>
        <v>114.30347142838187</v>
      </c>
      <c r="O350">
        <f t="shared" si="48"/>
        <v>114.3034714283819</v>
      </c>
      <c r="P350" s="10">
        <f t="shared" si="49"/>
        <v>0</v>
      </c>
      <c r="Q350" s="10">
        <f t="shared" si="50"/>
      </c>
      <c r="R350" s="10" t="str">
        <f t="shared" si="52"/>
        <v>no</v>
      </c>
    </row>
    <row r="351" spans="13:18" ht="12.75">
      <c r="M351" s="10">
        <f aca="true" t="shared" si="53" ref="M351:M414">M350+deltaP_S</f>
        <v>37.74000000000087</v>
      </c>
      <c r="N351">
        <f t="shared" si="51"/>
        <v>114.46634216362835</v>
      </c>
      <c r="O351">
        <f aca="true" t="shared" si="54" ref="O351:O414">EXP(-(r_/100)*tR_)*(((sinal_pos/100)*(IF(years+(months/12)&lt;0,0,IF(AND(FC_pos*((q_*B_*M351*(EXP(-(delta/100)*2)))-Idp)&lt;Inv,years+(months/12)=0),0,BjStAmericanCall(FC_pos*q_*B_*M351*(EXP(-(delta/100)*2)),Inv+(FC_pos*Idp),years+(months/12),r_/100,delta/100,sigma/100)))))+((1-(sinal_pos/100))*IF(years+(months/12)&lt;0,0,IF(AND(FC_neg*((q_*B_*M351*(EXP(-(delta/100)*2)))-Idp)&lt;Inv,years+(months/12)=0),0,BjStAmericanCall(FC_neg*q_*B_*M351*(EXP(-(delta/100)*2)),Inv+(FC_neg*Idp),years+(months/12),r_/100,delta/100,sigma/100)))))</f>
        <v>114.46634216362837</v>
      </c>
      <c r="P351" s="10">
        <f aca="true" t="shared" si="55" ref="P351:P414">O351-N351</f>
        <v>0</v>
      </c>
      <c r="Q351" s="10">
        <f aca="true" t="shared" si="56" ref="Q351:Q414">IF(AND(Q350="no",P351&lt;=0),"yes",IF(AND(Q350="no",P351&gt;0),"no",""))</f>
      </c>
      <c r="R351" s="10" t="str">
        <f t="shared" si="52"/>
        <v>no</v>
      </c>
    </row>
    <row r="352" spans="13:18" ht="12.75">
      <c r="M352" s="10">
        <f t="shared" si="53"/>
        <v>37.76000000000087</v>
      </c>
      <c r="N352">
        <f t="shared" si="51"/>
        <v>114.62921289887487</v>
      </c>
      <c r="O352">
        <f t="shared" si="54"/>
        <v>114.6292128988749</v>
      </c>
      <c r="P352" s="10">
        <f t="shared" si="55"/>
        <v>0</v>
      </c>
      <c r="Q352" s="10">
        <f t="shared" si="56"/>
      </c>
      <c r="R352" s="10" t="str">
        <f t="shared" si="52"/>
        <v>no</v>
      </c>
    </row>
    <row r="353" spans="13:18" ht="12.75">
      <c r="M353" s="10">
        <f t="shared" si="53"/>
        <v>37.780000000000875</v>
      </c>
      <c r="N353">
        <f t="shared" si="51"/>
        <v>114.79208363412141</v>
      </c>
      <c r="O353">
        <f t="shared" si="54"/>
        <v>114.79208363412135</v>
      </c>
      <c r="P353" s="10">
        <f t="shared" si="55"/>
        <v>0</v>
      </c>
      <c r="Q353" s="10">
        <f t="shared" si="56"/>
      </c>
      <c r="R353" s="10" t="str">
        <f t="shared" si="52"/>
        <v>no</v>
      </c>
    </row>
    <row r="354" spans="13:18" ht="12.75">
      <c r="M354" s="10">
        <f t="shared" si="53"/>
        <v>37.80000000000088</v>
      </c>
      <c r="N354">
        <f t="shared" si="51"/>
        <v>114.95495436936787</v>
      </c>
      <c r="O354">
        <f t="shared" si="54"/>
        <v>114.95495436936788</v>
      </c>
      <c r="P354" s="10">
        <f t="shared" si="55"/>
        <v>0</v>
      </c>
      <c r="Q354" s="10">
        <f t="shared" si="56"/>
      </c>
      <c r="R354" s="10" t="str">
        <f t="shared" si="52"/>
        <v>no</v>
      </c>
    </row>
    <row r="355" spans="13:18" ht="12.75">
      <c r="M355" s="10">
        <f t="shared" si="53"/>
        <v>37.82000000000088</v>
      </c>
      <c r="N355">
        <f t="shared" si="51"/>
        <v>115.11782510461435</v>
      </c>
      <c r="O355">
        <f t="shared" si="54"/>
        <v>115.11782510461435</v>
      </c>
      <c r="P355" s="10">
        <f t="shared" si="55"/>
        <v>0</v>
      </c>
      <c r="Q355" s="10">
        <f t="shared" si="56"/>
      </c>
      <c r="R355" s="10" t="str">
        <f t="shared" si="52"/>
        <v>no</v>
      </c>
    </row>
    <row r="356" spans="13:18" ht="12.75">
      <c r="M356" s="10">
        <f t="shared" si="53"/>
        <v>37.840000000000884</v>
      </c>
      <c r="N356">
        <f t="shared" si="51"/>
        <v>115.28069583986084</v>
      </c>
      <c r="O356">
        <f t="shared" si="54"/>
        <v>115.28069583986084</v>
      </c>
      <c r="P356" s="10">
        <f t="shared" si="55"/>
        <v>0</v>
      </c>
      <c r="Q356" s="10">
        <f t="shared" si="56"/>
      </c>
      <c r="R356" s="10" t="str">
        <f t="shared" si="52"/>
        <v>no</v>
      </c>
    </row>
    <row r="357" spans="13:18" ht="12.75">
      <c r="M357" s="10">
        <f t="shared" si="53"/>
        <v>37.86000000000089</v>
      </c>
      <c r="N357">
        <f t="shared" si="51"/>
        <v>115.44356657510735</v>
      </c>
      <c r="O357">
        <f t="shared" si="54"/>
        <v>115.44356657510737</v>
      </c>
      <c r="P357" s="10">
        <f t="shared" si="55"/>
        <v>0</v>
      </c>
      <c r="Q357" s="10">
        <f t="shared" si="56"/>
      </c>
      <c r="R357" s="10" t="str">
        <f t="shared" si="52"/>
        <v>no</v>
      </c>
    </row>
    <row r="358" spans="13:18" ht="12.75">
      <c r="M358" s="10">
        <f t="shared" si="53"/>
        <v>37.88000000000089</v>
      </c>
      <c r="N358">
        <f t="shared" si="51"/>
        <v>115.6064373103539</v>
      </c>
      <c r="O358">
        <f t="shared" si="54"/>
        <v>115.60643731035387</v>
      </c>
      <c r="P358" s="10">
        <f t="shared" si="55"/>
        <v>0</v>
      </c>
      <c r="Q358" s="10">
        <f t="shared" si="56"/>
      </c>
      <c r="R358" s="10" t="str">
        <f t="shared" si="52"/>
        <v>no</v>
      </c>
    </row>
    <row r="359" spans="13:18" ht="12.75">
      <c r="M359" s="10">
        <f t="shared" si="53"/>
        <v>37.900000000000894</v>
      </c>
      <c r="N359">
        <f t="shared" si="51"/>
        <v>115.76930804560038</v>
      </c>
      <c r="O359">
        <f t="shared" si="54"/>
        <v>115.76930804560037</v>
      </c>
      <c r="P359" s="10">
        <f t="shared" si="55"/>
        <v>0</v>
      </c>
      <c r="Q359" s="10">
        <f t="shared" si="56"/>
      </c>
      <c r="R359" s="10" t="str">
        <f t="shared" si="52"/>
        <v>no</v>
      </c>
    </row>
    <row r="360" spans="13:18" ht="12.75">
      <c r="M360" s="10">
        <f t="shared" si="53"/>
        <v>37.9200000000009</v>
      </c>
      <c r="N360">
        <f t="shared" si="51"/>
        <v>115.93217878084684</v>
      </c>
      <c r="O360">
        <f t="shared" si="54"/>
        <v>115.93217878084684</v>
      </c>
      <c r="P360" s="10">
        <f t="shared" si="55"/>
        <v>0</v>
      </c>
      <c r="Q360" s="10">
        <f t="shared" si="56"/>
      </c>
      <c r="R360" s="10" t="str">
        <f t="shared" si="52"/>
        <v>no</v>
      </c>
    </row>
    <row r="361" spans="13:18" ht="12.75">
      <c r="M361" s="10">
        <f t="shared" si="53"/>
        <v>37.9400000000009</v>
      </c>
      <c r="N361">
        <f t="shared" si="51"/>
        <v>116.09504951609333</v>
      </c>
      <c r="O361">
        <f t="shared" si="54"/>
        <v>116.09504951609333</v>
      </c>
      <c r="P361" s="10">
        <f t="shared" si="55"/>
        <v>0</v>
      </c>
      <c r="Q361" s="10">
        <f t="shared" si="56"/>
      </c>
      <c r="R361" s="10" t="str">
        <f t="shared" si="52"/>
        <v>no</v>
      </c>
    </row>
    <row r="362" spans="13:18" ht="12.75">
      <c r="M362" s="10">
        <f t="shared" si="53"/>
        <v>37.9600000000009</v>
      </c>
      <c r="N362">
        <f t="shared" si="51"/>
        <v>116.25792025133987</v>
      </c>
      <c r="O362">
        <f t="shared" si="54"/>
        <v>116.25792025133985</v>
      </c>
      <c r="P362" s="10">
        <f t="shared" si="55"/>
        <v>0</v>
      </c>
      <c r="Q362" s="10">
        <f t="shared" si="56"/>
      </c>
      <c r="R362" s="10" t="str">
        <f t="shared" si="52"/>
        <v>no</v>
      </c>
    </row>
    <row r="363" spans="13:18" ht="12.75">
      <c r="M363" s="10">
        <f t="shared" si="53"/>
        <v>37.980000000000906</v>
      </c>
      <c r="N363">
        <f t="shared" si="51"/>
        <v>116.42079098658638</v>
      </c>
      <c r="O363">
        <f t="shared" si="54"/>
        <v>116.42079098658635</v>
      </c>
      <c r="P363" s="10">
        <f t="shared" si="55"/>
        <v>0</v>
      </c>
      <c r="Q363" s="10">
        <f t="shared" si="56"/>
      </c>
      <c r="R363" s="10" t="str">
        <f t="shared" si="52"/>
        <v>no</v>
      </c>
    </row>
    <row r="364" spans="13:18" ht="12.75">
      <c r="M364" s="10">
        <f t="shared" si="53"/>
        <v>38.00000000000091</v>
      </c>
      <c r="N364">
        <f t="shared" si="51"/>
        <v>116.58366172183287</v>
      </c>
      <c r="O364">
        <f t="shared" si="54"/>
        <v>116.58366172183285</v>
      </c>
      <c r="P364" s="10">
        <f t="shared" si="55"/>
        <v>0</v>
      </c>
      <c r="Q364" s="10">
        <f t="shared" si="56"/>
      </c>
      <c r="R364" s="10" t="str">
        <f t="shared" si="52"/>
        <v>no</v>
      </c>
    </row>
    <row r="365" spans="13:18" ht="12.75">
      <c r="M365" s="10">
        <f t="shared" si="53"/>
        <v>38.02000000000091</v>
      </c>
      <c r="N365">
        <f t="shared" si="51"/>
        <v>116.74653245707933</v>
      </c>
      <c r="O365">
        <f t="shared" si="54"/>
        <v>116.74653245707935</v>
      </c>
      <c r="P365" s="10">
        <f t="shared" si="55"/>
        <v>0</v>
      </c>
      <c r="Q365" s="10">
        <f t="shared" si="56"/>
      </c>
      <c r="R365" s="10" t="str">
        <f t="shared" si="52"/>
        <v>no</v>
      </c>
    </row>
    <row r="366" spans="13:18" ht="12.75">
      <c r="M366" s="10">
        <f t="shared" si="53"/>
        <v>38.040000000000916</v>
      </c>
      <c r="N366">
        <f t="shared" si="51"/>
        <v>116.90940319232581</v>
      </c>
      <c r="O366">
        <f t="shared" si="54"/>
        <v>116.90940319232584</v>
      </c>
      <c r="P366" s="10">
        <f t="shared" si="55"/>
        <v>0</v>
      </c>
      <c r="Q366" s="10">
        <f t="shared" si="56"/>
      </c>
      <c r="R366" s="10" t="str">
        <f t="shared" si="52"/>
        <v>no</v>
      </c>
    </row>
    <row r="367" spans="13:18" ht="12.75">
      <c r="M367" s="10">
        <f t="shared" si="53"/>
        <v>38.06000000000092</v>
      </c>
      <c r="N367">
        <f t="shared" si="51"/>
        <v>117.07227392757235</v>
      </c>
      <c r="O367">
        <f t="shared" si="54"/>
        <v>117.07227392757235</v>
      </c>
      <c r="P367" s="10">
        <f t="shared" si="55"/>
        <v>0</v>
      </c>
      <c r="Q367" s="10">
        <f t="shared" si="56"/>
      </c>
      <c r="R367" s="10" t="str">
        <f t="shared" si="52"/>
        <v>no</v>
      </c>
    </row>
    <row r="368" spans="13:18" ht="12.75">
      <c r="M368" s="10">
        <f t="shared" si="53"/>
        <v>38.08000000000092</v>
      </c>
      <c r="N368">
        <f t="shared" si="51"/>
        <v>117.23514466281887</v>
      </c>
      <c r="O368">
        <f t="shared" si="54"/>
        <v>117.23514466281881</v>
      </c>
      <c r="P368" s="10">
        <f t="shared" si="55"/>
        <v>0</v>
      </c>
      <c r="Q368" s="10">
        <f t="shared" si="56"/>
      </c>
      <c r="R368" s="10" t="str">
        <f t="shared" si="52"/>
        <v>no</v>
      </c>
    </row>
    <row r="369" spans="13:18" ht="12.75">
      <c r="M369" s="10">
        <f t="shared" si="53"/>
        <v>38.100000000000925</v>
      </c>
      <c r="N369">
        <f t="shared" si="51"/>
        <v>117.39801539806535</v>
      </c>
      <c r="O369">
        <f t="shared" si="54"/>
        <v>117.39801539806535</v>
      </c>
      <c r="P369" s="10">
        <f t="shared" si="55"/>
        <v>0</v>
      </c>
      <c r="Q369" s="10">
        <f t="shared" si="56"/>
      </c>
      <c r="R369" s="10" t="str">
        <f t="shared" si="52"/>
        <v>no</v>
      </c>
    </row>
    <row r="370" spans="13:18" ht="12.75">
      <c r="M370" s="10">
        <f t="shared" si="53"/>
        <v>38.12000000000093</v>
      </c>
      <c r="N370">
        <f t="shared" si="51"/>
        <v>117.56088613331181</v>
      </c>
      <c r="O370">
        <f t="shared" si="54"/>
        <v>117.56088613331184</v>
      </c>
      <c r="P370" s="10">
        <f t="shared" si="55"/>
        <v>0</v>
      </c>
      <c r="Q370" s="10">
        <f t="shared" si="56"/>
      </c>
      <c r="R370" s="10" t="str">
        <f t="shared" si="52"/>
        <v>no</v>
      </c>
    </row>
    <row r="371" spans="13:18" ht="12.75">
      <c r="M371" s="10">
        <f t="shared" si="53"/>
        <v>38.14000000000093</v>
      </c>
      <c r="N371">
        <f t="shared" si="51"/>
        <v>117.72375686855835</v>
      </c>
      <c r="O371">
        <f t="shared" si="54"/>
        <v>117.72375686855833</v>
      </c>
      <c r="P371" s="10">
        <f t="shared" si="55"/>
        <v>0</v>
      </c>
      <c r="Q371" s="10">
        <f t="shared" si="56"/>
      </c>
      <c r="R371" s="10" t="str">
        <f t="shared" si="52"/>
        <v>no</v>
      </c>
    </row>
    <row r="372" spans="13:18" ht="12.75">
      <c r="M372" s="10">
        <f t="shared" si="53"/>
        <v>38.160000000000935</v>
      </c>
      <c r="N372">
        <f t="shared" si="51"/>
        <v>117.88662760380484</v>
      </c>
      <c r="O372">
        <f t="shared" si="54"/>
        <v>117.88662760380484</v>
      </c>
      <c r="P372" s="10">
        <f t="shared" si="55"/>
        <v>0</v>
      </c>
      <c r="Q372" s="10">
        <f t="shared" si="56"/>
      </c>
      <c r="R372" s="10" t="str">
        <f t="shared" si="52"/>
        <v>no</v>
      </c>
    </row>
    <row r="373" spans="13:18" ht="12.75">
      <c r="M373" s="10">
        <f t="shared" si="53"/>
        <v>38.18000000000094</v>
      </c>
      <c r="N373">
        <f t="shared" si="51"/>
        <v>118.04949833905135</v>
      </c>
      <c r="O373">
        <f t="shared" si="54"/>
        <v>118.04949833905133</v>
      </c>
      <c r="P373" s="10">
        <f t="shared" si="55"/>
        <v>0</v>
      </c>
      <c r="Q373" s="10">
        <f t="shared" si="56"/>
      </c>
      <c r="R373" s="10" t="str">
        <f t="shared" si="52"/>
        <v>no</v>
      </c>
    </row>
    <row r="374" spans="13:18" ht="12.75">
      <c r="M374" s="10">
        <f t="shared" si="53"/>
        <v>38.20000000000094</v>
      </c>
      <c r="N374">
        <f t="shared" si="51"/>
        <v>118.21236907429784</v>
      </c>
      <c r="O374">
        <f t="shared" si="54"/>
        <v>118.21236907429784</v>
      </c>
      <c r="P374" s="10">
        <f t="shared" si="55"/>
        <v>0</v>
      </c>
      <c r="Q374" s="10">
        <f t="shared" si="56"/>
      </c>
      <c r="R374" s="10" t="str">
        <f t="shared" si="52"/>
        <v>no</v>
      </c>
    </row>
    <row r="375" spans="13:18" ht="12.75">
      <c r="M375" s="10">
        <f t="shared" si="53"/>
        <v>38.220000000000944</v>
      </c>
      <c r="N375">
        <f t="shared" si="51"/>
        <v>118.3752398095443</v>
      </c>
      <c r="O375">
        <f t="shared" si="54"/>
        <v>118.37523980954433</v>
      </c>
      <c r="P375" s="10">
        <f t="shared" si="55"/>
        <v>0</v>
      </c>
      <c r="Q375" s="10">
        <f t="shared" si="56"/>
      </c>
      <c r="R375" s="10" t="str">
        <f t="shared" si="52"/>
        <v>no</v>
      </c>
    </row>
    <row r="376" spans="13:18" ht="12.75">
      <c r="M376" s="10">
        <f t="shared" si="53"/>
        <v>38.24000000000095</v>
      </c>
      <c r="N376">
        <f t="shared" si="51"/>
        <v>118.53811054479084</v>
      </c>
      <c r="O376">
        <f t="shared" si="54"/>
        <v>118.53811054479081</v>
      </c>
      <c r="P376" s="10">
        <f t="shared" si="55"/>
        <v>0</v>
      </c>
      <c r="Q376" s="10">
        <f t="shared" si="56"/>
      </c>
      <c r="R376" s="10" t="str">
        <f t="shared" si="52"/>
        <v>no</v>
      </c>
    </row>
    <row r="377" spans="13:18" ht="12.75">
      <c r="M377" s="10">
        <f t="shared" si="53"/>
        <v>38.26000000000095</v>
      </c>
      <c r="N377">
        <f t="shared" si="51"/>
        <v>118.70098128003733</v>
      </c>
      <c r="O377">
        <f t="shared" si="54"/>
        <v>118.70098128003733</v>
      </c>
      <c r="P377" s="10">
        <f t="shared" si="55"/>
        <v>0</v>
      </c>
      <c r="Q377" s="10">
        <f t="shared" si="56"/>
      </c>
      <c r="R377" s="10" t="str">
        <f t="shared" si="52"/>
        <v>no</v>
      </c>
    </row>
    <row r="378" spans="13:18" ht="12.75">
      <c r="M378" s="10">
        <f t="shared" si="53"/>
        <v>38.28000000000095</v>
      </c>
      <c r="N378">
        <f t="shared" si="51"/>
        <v>118.86385201528384</v>
      </c>
      <c r="O378">
        <f t="shared" si="54"/>
        <v>118.86385201528381</v>
      </c>
      <c r="P378" s="10">
        <f t="shared" si="55"/>
        <v>0</v>
      </c>
      <c r="Q378" s="10">
        <f t="shared" si="56"/>
      </c>
      <c r="R378" s="10" t="str">
        <f t="shared" si="52"/>
        <v>no</v>
      </c>
    </row>
    <row r="379" spans="13:18" ht="12.75">
      <c r="M379" s="10">
        <f t="shared" si="53"/>
        <v>38.300000000000956</v>
      </c>
      <c r="N379">
        <f t="shared" si="51"/>
        <v>119.02672275053033</v>
      </c>
      <c r="O379">
        <f t="shared" si="54"/>
        <v>119.02672275053031</v>
      </c>
      <c r="P379" s="10">
        <f t="shared" si="55"/>
        <v>0</v>
      </c>
      <c r="Q379" s="10">
        <f t="shared" si="56"/>
      </c>
      <c r="R379" s="10" t="str">
        <f t="shared" si="52"/>
        <v>no</v>
      </c>
    </row>
    <row r="380" spans="13:18" ht="12.75">
      <c r="M380" s="10">
        <f t="shared" si="53"/>
        <v>38.32000000000096</v>
      </c>
      <c r="N380">
        <f t="shared" si="51"/>
        <v>119.18959348577684</v>
      </c>
      <c r="O380">
        <f t="shared" si="54"/>
        <v>119.18959348577684</v>
      </c>
      <c r="P380" s="10">
        <f t="shared" si="55"/>
        <v>0</v>
      </c>
      <c r="Q380" s="10">
        <f t="shared" si="56"/>
      </c>
      <c r="R380" s="10" t="str">
        <f t="shared" si="52"/>
        <v>no</v>
      </c>
    </row>
    <row r="381" spans="13:18" ht="12.75">
      <c r="M381" s="10">
        <f t="shared" si="53"/>
        <v>38.34000000000096</v>
      </c>
      <c r="N381">
        <f t="shared" si="51"/>
        <v>119.35246422102333</v>
      </c>
      <c r="O381">
        <f t="shared" si="54"/>
        <v>119.35246422102333</v>
      </c>
      <c r="P381" s="10">
        <f t="shared" si="55"/>
        <v>0</v>
      </c>
      <c r="Q381" s="10">
        <f t="shared" si="56"/>
      </c>
      <c r="R381" s="10" t="str">
        <f t="shared" si="52"/>
        <v>no</v>
      </c>
    </row>
    <row r="382" spans="13:18" ht="12.75">
      <c r="M382" s="10">
        <f t="shared" si="53"/>
        <v>38.360000000000966</v>
      </c>
      <c r="N382">
        <f t="shared" si="51"/>
        <v>119.51533495626981</v>
      </c>
      <c r="O382">
        <f t="shared" si="54"/>
        <v>119.51533495626984</v>
      </c>
      <c r="P382" s="10">
        <f t="shared" si="55"/>
        <v>0</v>
      </c>
      <c r="Q382" s="10">
        <f t="shared" si="56"/>
      </c>
      <c r="R382" s="10" t="str">
        <f t="shared" si="52"/>
        <v>no</v>
      </c>
    </row>
    <row r="383" spans="13:18" ht="12.75">
      <c r="M383" s="10">
        <f t="shared" si="53"/>
        <v>38.38000000000097</v>
      </c>
      <c r="N383">
        <f t="shared" si="51"/>
        <v>119.67820569151633</v>
      </c>
      <c r="O383">
        <f t="shared" si="54"/>
        <v>119.67820569151633</v>
      </c>
      <c r="P383" s="10">
        <f t="shared" si="55"/>
        <v>0</v>
      </c>
      <c r="Q383" s="10">
        <f t="shared" si="56"/>
      </c>
      <c r="R383" s="10" t="str">
        <f t="shared" si="52"/>
        <v>no</v>
      </c>
    </row>
    <row r="384" spans="13:18" ht="12.75">
      <c r="M384" s="10">
        <f t="shared" si="53"/>
        <v>38.40000000000097</v>
      </c>
      <c r="N384">
        <f t="shared" si="51"/>
        <v>119.84107642676281</v>
      </c>
      <c r="O384">
        <f t="shared" si="54"/>
        <v>119.84107642676281</v>
      </c>
      <c r="P384" s="10">
        <f t="shared" si="55"/>
        <v>0</v>
      </c>
      <c r="Q384" s="10">
        <f t="shared" si="56"/>
      </c>
      <c r="R384" s="10" t="str">
        <f t="shared" si="52"/>
        <v>no</v>
      </c>
    </row>
    <row r="385" spans="13:18" ht="12.75">
      <c r="M385" s="10">
        <f t="shared" si="53"/>
        <v>38.420000000000975</v>
      </c>
      <c r="N385">
        <f t="shared" si="51"/>
        <v>120.00394716200933</v>
      </c>
      <c r="O385">
        <f t="shared" si="54"/>
        <v>120.00394716200931</v>
      </c>
      <c r="P385" s="10">
        <f t="shared" si="55"/>
        <v>0</v>
      </c>
      <c r="Q385" s="10">
        <f t="shared" si="56"/>
      </c>
      <c r="R385" s="10" t="str">
        <f t="shared" si="52"/>
        <v>no</v>
      </c>
    </row>
    <row r="386" spans="13:18" ht="12.75">
      <c r="M386" s="10">
        <f t="shared" si="53"/>
        <v>38.44000000000098</v>
      </c>
      <c r="N386">
        <f t="shared" si="51"/>
        <v>120.16681789725581</v>
      </c>
      <c r="O386">
        <f t="shared" si="54"/>
        <v>120.16681789725584</v>
      </c>
      <c r="P386" s="10">
        <f t="shared" si="55"/>
        <v>0</v>
      </c>
      <c r="Q386" s="10">
        <f t="shared" si="56"/>
      </c>
      <c r="R386" s="10" t="str">
        <f t="shared" si="52"/>
        <v>no</v>
      </c>
    </row>
    <row r="387" spans="13:18" ht="12.75">
      <c r="M387" s="10">
        <f t="shared" si="53"/>
        <v>38.46000000000098</v>
      </c>
      <c r="N387">
        <f t="shared" si="51"/>
        <v>120.3296886325023</v>
      </c>
      <c r="O387">
        <f t="shared" si="54"/>
        <v>120.32968863250231</v>
      </c>
      <c r="P387" s="10">
        <f t="shared" si="55"/>
        <v>0</v>
      </c>
      <c r="Q387" s="10">
        <f t="shared" si="56"/>
      </c>
      <c r="R387" s="10" t="str">
        <f t="shared" si="52"/>
        <v>no</v>
      </c>
    </row>
    <row r="388" spans="13:18" ht="12.75">
      <c r="M388" s="10">
        <f t="shared" si="53"/>
        <v>38.480000000000985</v>
      </c>
      <c r="N388">
        <f t="shared" si="51"/>
        <v>120.49255936774881</v>
      </c>
      <c r="O388">
        <f t="shared" si="54"/>
        <v>120.49255936774884</v>
      </c>
      <c r="P388" s="10">
        <f t="shared" si="55"/>
        <v>0</v>
      </c>
      <c r="Q388" s="10">
        <f t="shared" si="56"/>
      </c>
      <c r="R388" s="10" t="str">
        <f t="shared" si="52"/>
        <v>no</v>
      </c>
    </row>
    <row r="389" spans="13:18" ht="12.75">
      <c r="M389" s="10">
        <f t="shared" si="53"/>
        <v>38.50000000000099</v>
      </c>
      <c r="N389">
        <f aca="true" t="shared" si="57" ref="N389:N450">-Inv+((FC0/100)*BjStAmericanCall(q_*B_*M389*(EXP(-(delta/100)*2)),Idp,years+(months/12),r_/100,delta/100,sigma/100))</f>
        <v>120.6554301029953</v>
      </c>
      <c r="O389">
        <f t="shared" si="54"/>
        <v>120.65543010299533</v>
      </c>
      <c r="P389" s="10">
        <f t="shared" si="55"/>
        <v>0</v>
      </c>
      <c r="Q389" s="10">
        <f t="shared" si="56"/>
      </c>
      <c r="R389" s="10" t="str">
        <f aca="true" t="shared" si="58" ref="R389:R450">IF(AND(Q389="no",Q390="yes"),"yes","no")</f>
        <v>no</v>
      </c>
    </row>
    <row r="390" spans="13:18" ht="12.75">
      <c r="M390" s="10">
        <f t="shared" si="53"/>
        <v>38.52000000000099</v>
      </c>
      <c r="N390">
        <f t="shared" si="57"/>
        <v>120.81830083824181</v>
      </c>
      <c r="O390">
        <f t="shared" si="54"/>
        <v>120.8183008382418</v>
      </c>
      <c r="P390" s="10">
        <f t="shared" si="55"/>
        <v>0</v>
      </c>
      <c r="Q390" s="10">
        <f t="shared" si="56"/>
      </c>
      <c r="R390" s="10" t="str">
        <f t="shared" si="58"/>
        <v>no</v>
      </c>
    </row>
    <row r="391" spans="13:18" ht="12.75">
      <c r="M391" s="10">
        <f t="shared" si="53"/>
        <v>38.540000000000994</v>
      </c>
      <c r="N391">
        <f t="shared" si="57"/>
        <v>120.9811715734883</v>
      </c>
      <c r="O391">
        <f t="shared" si="54"/>
        <v>120.98117157348833</v>
      </c>
      <c r="P391" s="10">
        <f t="shared" si="55"/>
        <v>0</v>
      </c>
      <c r="Q391" s="10">
        <f t="shared" si="56"/>
      </c>
      <c r="R391" s="10" t="str">
        <f t="shared" si="58"/>
        <v>no</v>
      </c>
    </row>
    <row r="392" spans="13:18" ht="12.75">
      <c r="M392" s="10">
        <f t="shared" si="53"/>
        <v>38.560000000001</v>
      </c>
      <c r="N392">
        <f t="shared" si="57"/>
        <v>121.14404230873478</v>
      </c>
      <c r="O392">
        <f t="shared" si="54"/>
        <v>121.14404230873481</v>
      </c>
      <c r="P392" s="10">
        <f t="shared" si="55"/>
        <v>0</v>
      </c>
      <c r="Q392" s="10">
        <f t="shared" si="56"/>
      </c>
      <c r="R392" s="10" t="str">
        <f t="shared" si="58"/>
        <v>no</v>
      </c>
    </row>
    <row r="393" spans="13:18" ht="12.75">
      <c r="M393" s="10">
        <f t="shared" si="53"/>
        <v>38.580000000001</v>
      </c>
      <c r="N393">
        <f t="shared" si="57"/>
        <v>121.3069130439813</v>
      </c>
      <c r="O393">
        <f t="shared" si="54"/>
        <v>121.30691304398131</v>
      </c>
      <c r="P393" s="10">
        <f t="shared" si="55"/>
        <v>0</v>
      </c>
      <c r="Q393" s="10">
        <f t="shared" si="56"/>
      </c>
      <c r="R393" s="10" t="str">
        <f t="shared" si="58"/>
        <v>no</v>
      </c>
    </row>
    <row r="394" spans="13:18" ht="12.75">
      <c r="M394" s="10">
        <f t="shared" si="53"/>
        <v>38.600000000001</v>
      </c>
      <c r="N394">
        <f t="shared" si="57"/>
        <v>121.46978377922784</v>
      </c>
      <c r="O394">
        <f t="shared" si="54"/>
        <v>121.46978377922781</v>
      </c>
      <c r="P394" s="10">
        <f t="shared" si="55"/>
        <v>0</v>
      </c>
      <c r="Q394" s="10">
        <f t="shared" si="56"/>
      </c>
      <c r="R394" s="10" t="str">
        <f t="shared" si="58"/>
        <v>no</v>
      </c>
    </row>
    <row r="395" spans="13:18" ht="12.75">
      <c r="M395" s="10">
        <f t="shared" si="53"/>
        <v>38.620000000001006</v>
      </c>
      <c r="N395">
        <f t="shared" si="57"/>
        <v>121.6326545144743</v>
      </c>
      <c r="O395">
        <f t="shared" si="54"/>
        <v>121.6326545144743</v>
      </c>
      <c r="P395" s="10">
        <f t="shared" si="55"/>
        <v>0</v>
      </c>
      <c r="Q395" s="10">
        <f t="shared" si="56"/>
      </c>
      <c r="R395" s="10" t="str">
        <f t="shared" si="58"/>
        <v>no</v>
      </c>
    </row>
    <row r="396" spans="13:18" ht="12.75">
      <c r="M396" s="10">
        <f t="shared" si="53"/>
        <v>38.64000000000101</v>
      </c>
      <c r="N396">
        <f t="shared" si="57"/>
        <v>121.79552524972078</v>
      </c>
      <c r="O396">
        <f t="shared" si="54"/>
        <v>121.79552524972081</v>
      </c>
      <c r="P396" s="10">
        <f t="shared" si="55"/>
        <v>0</v>
      </c>
      <c r="Q396" s="10">
        <f t="shared" si="56"/>
      </c>
      <c r="R396" s="10" t="str">
        <f t="shared" si="58"/>
        <v>no</v>
      </c>
    </row>
    <row r="397" spans="13:18" ht="12.75">
      <c r="M397" s="10">
        <f t="shared" si="53"/>
        <v>38.66000000000101</v>
      </c>
      <c r="N397">
        <f t="shared" si="57"/>
        <v>121.95839598496727</v>
      </c>
      <c r="O397">
        <f t="shared" si="54"/>
        <v>121.9583959849673</v>
      </c>
      <c r="P397" s="10">
        <f t="shared" si="55"/>
        <v>0</v>
      </c>
      <c r="Q397" s="10">
        <f t="shared" si="56"/>
      </c>
      <c r="R397" s="10" t="str">
        <f t="shared" si="58"/>
        <v>no</v>
      </c>
    </row>
    <row r="398" spans="13:18" ht="12.75">
      <c r="M398" s="10">
        <f t="shared" si="53"/>
        <v>38.680000000001016</v>
      </c>
      <c r="N398">
        <f t="shared" si="57"/>
        <v>122.12126672021378</v>
      </c>
      <c r="O398">
        <f t="shared" si="54"/>
        <v>122.1212667202138</v>
      </c>
      <c r="P398" s="10">
        <f t="shared" si="55"/>
        <v>0</v>
      </c>
      <c r="Q398" s="10">
        <f t="shared" si="56"/>
      </c>
      <c r="R398" s="10" t="str">
        <f t="shared" si="58"/>
        <v>no</v>
      </c>
    </row>
    <row r="399" spans="13:18" ht="12.75">
      <c r="M399" s="10">
        <f t="shared" si="53"/>
        <v>38.70000000000102</v>
      </c>
      <c r="N399">
        <f t="shared" si="57"/>
        <v>122.28413745546032</v>
      </c>
      <c r="O399">
        <f t="shared" si="54"/>
        <v>122.2841374554603</v>
      </c>
      <c r="P399" s="10">
        <f t="shared" si="55"/>
        <v>0</v>
      </c>
      <c r="Q399" s="10">
        <f t="shared" si="56"/>
      </c>
      <c r="R399" s="10" t="str">
        <f t="shared" si="58"/>
        <v>no</v>
      </c>
    </row>
    <row r="400" spans="13:18" ht="12.75">
      <c r="M400" s="10">
        <f t="shared" si="53"/>
        <v>38.72000000000102</v>
      </c>
      <c r="N400">
        <f t="shared" si="57"/>
        <v>122.44700819070678</v>
      </c>
      <c r="O400">
        <f t="shared" si="54"/>
        <v>122.4470081907068</v>
      </c>
      <c r="P400" s="10">
        <f t="shared" si="55"/>
        <v>0</v>
      </c>
      <c r="Q400" s="10">
        <f t="shared" si="56"/>
      </c>
      <c r="R400" s="10" t="str">
        <f t="shared" si="58"/>
        <v>no</v>
      </c>
    </row>
    <row r="401" spans="13:18" ht="12.75">
      <c r="M401" s="10">
        <f t="shared" si="53"/>
        <v>38.740000000001025</v>
      </c>
      <c r="N401">
        <f t="shared" si="57"/>
        <v>122.60987892595327</v>
      </c>
      <c r="O401">
        <f t="shared" si="54"/>
        <v>122.6098789259533</v>
      </c>
      <c r="P401" s="10">
        <f t="shared" si="55"/>
        <v>0</v>
      </c>
      <c r="Q401" s="10">
        <f t="shared" si="56"/>
      </c>
      <c r="R401" s="10" t="str">
        <f t="shared" si="58"/>
        <v>no</v>
      </c>
    </row>
    <row r="402" spans="13:18" ht="12.75">
      <c r="M402" s="10">
        <f t="shared" si="53"/>
        <v>38.76000000000103</v>
      </c>
      <c r="N402">
        <f t="shared" si="57"/>
        <v>122.77274966119975</v>
      </c>
      <c r="O402">
        <f t="shared" si="54"/>
        <v>122.77274966119977</v>
      </c>
      <c r="P402" s="10">
        <f t="shared" si="55"/>
        <v>0</v>
      </c>
      <c r="Q402" s="10">
        <f t="shared" si="56"/>
      </c>
      <c r="R402" s="10" t="str">
        <f t="shared" si="58"/>
        <v>no</v>
      </c>
    </row>
    <row r="403" spans="13:18" ht="12.75">
      <c r="M403" s="10">
        <f t="shared" si="53"/>
        <v>38.78000000000103</v>
      </c>
      <c r="N403">
        <f t="shared" si="57"/>
        <v>122.9356203964463</v>
      </c>
      <c r="O403">
        <f t="shared" si="54"/>
        <v>122.93562039644628</v>
      </c>
      <c r="P403" s="10">
        <f t="shared" si="55"/>
        <v>0</v>
      </c>
      <c r="Q403" s="10">
        <f t="shared" si="56"/>
      </c>
      <c r="R403" s="10" t="str">
        <f t="shared" si="58"/>
        <v>no</v>
      </c>
    </row>
    <row r="404" spans="13:18" ht="12.75">
      <c r="M404" s="10">
        <f t="shared" si="53"/>
        <v>38.800000000001035</v>
      </c>
      <c r="N404">
        <f t="shared" si="57"/>
        <v>123.09849113169281</v>
      </c>
      <c r="O404">
        <f t="shared" si="54"/>
        <v>123.09849113169281</v>
      </c>
      <c r="P404" s="10">
        <f t="shared" si="55"/>
        <v>0</v>
      </c>
      <c r="Q404" s="10">
        <f t="shared" si="56"/>
      </c>
      <c r="R404" s="10" t="str">
        <f t="shared" si="58"/>
        <v>no</v>
      </c>
    </row>
    <row r="405" spans="13:18" ht="12.75">
      <c r="M405" s="10">
        <f t="shared" si="53"/>
        <v>38.82000000000104</v>
      </c>
      <c r="N405">
        <f t="shared" si="57"/>
        <v>123.2613618669393</v>
      </c>
      <c r="O405">
        <f t="shared" si="54"/>
        <v>123.26136186693927</v>
      </c>
      <c r="P405" s="10">
        <f t="shared" si="55"/>
        <v>0</v>
      </c>
      <c r="Q405" s="10">
        <f t="shared" si="56"/>
      </c>
      <c r="R405" s="10" t="str">
        <f t="shared" si="58"/>
        <v>no</v>
      </c>
    </row>
    <row r="406" spans="13:18" ht="12.75">
      <c r="M406" s="10">
        <f t="shared" si="53"/>
        <v>38.84000000000104</v>
      </c>
      <c r="N406">
        <f t="shared" si="57"/>
        <v>123.42423260218575</v>
      </c>
      <c r="O406">
        <f t="shared" si="54"/>
        <v>123.42423260218578</v>
      </c>
      <c r="P406" s="10">
        <f t="shared" si="55"/>
        <v>0</v>
      </c>
      <c r="Q406" s="10">
        <f t="shared" si="56"/>
      </c>
      <c r="R406" s="10" t="str">
        <f t="shared" si="58"/>
        <v>no</v>
      </c>
    </row>
    <row r="407" spans="13:18" ht="12.75">
      <c r="M407" s="10">
        <f t="shared" si="53"/>
        <v>38.860000000001044</v>
      </c>
      <c r="N407">
        <f t="shared" si="57"/>
        <v>123.58710333743227</v>
      </c>
      <c r="O407">
        <f t="shared" si="54"/>
        <v>123.58710333743225</v>
      </c>
      <c r="P407" s="10">
        <f t="shared" si="55"/>
        <v>0</v>
      </c>
      <c r="Q407" s="10">
        <f t="shared" si="56"/>
      </c>
      <c r="R407" s="10" t="str">
        <f t="shared" si="58"/>
        <v>no</v>
      </c>
    </row>
    <row r="408" spans="13:18" ht="12.75">
      <c r="M408" s="10">
        <f t="shared" si="53"/>
        <v>38.88000000000105</v>
      </c>
      <c r="N408">
        <f t="shared" si="57"/>
        <v>123.74997407267881</v>
      </c>
      <c r="O408">
        <f t="shared" si="54"/>
        <v>123.7499740726788</v>
      </c>
      <c r="P408" s="10">
        <f t="shared" si="55"/>
        <v>0</v>
      </c>
      <c r="Q408" s="10">
        <f t="shared" si="56"/>
      </c>
      <c r="R408" s="10" t="str">
        <f t="shared" si="58"/>
        <v>no</v>
      </c>
    </row>
    <row r="409" spans="13:18" ht="12.75">
      <c r="M409" s="10">
        <f t="shared" si="53"/>
        <v>38.90000000000105</v>
      </c>
      <c r="N409">
        <f t="shared" si="57"/>
        <v>123.9128448079253</v>
      </c>
      <c r="O409">
        <f t="shared" si="54"/>
        <v>123.9128448079253</v>
      </c>
      <c r="P409" s="10">
        <f t="shared" si="55"/>
        <v>0</v>
      </c>
      <c r="Q409" s="10">
        <f t="shared" si="56"/>
      </c>
      <c r="R409" s="10" t="str">
        <f t="shared" si="58"/>
        <v>no</v>
      </c>
    </row>
    <row r="410" spans="13:18" ht="12.75">
      <c r="M410" s="10">
        <f t="shared" si="53"/>
        <v>38.92000000000105</v>
      </c>
      <c r="N410">
        <f t="shared" si="57"/>
        <v>124.07571554317178</v>
      </c>
      <c r="O410">
        <f t="shared" si="54"/>
        <v>124.07571554317175</v>
      </c>
      <c r="P410" s="10">
        <f t="shared" si="55"/>
        <v>0</v>
      </c>
      <c r="Q410" s="10">
        <f t="shared" si="56"/>
      </c>
      <c r="R410" s="10" t="str">
        <f t="shared" si="58"/>
        <v>no</v>
      </c>
    </row>
    <row r="411" spans="13:18" ht="12.75">
      <c r="M411" s="10">
        <f t="shared" si="53"/>
        <v>38.940000000001056</v>
      </c>
      <c r="N411">
        <f t="shared" si="57"/>
        <v>124.23858627841824</v>
      </c>
      <c r="O411">
        <f t="shared" si="54"/>
        <v>124.23858627841828</v>
      </c>
      <c r="P411" s="10">
        <f t="shared" si="55"/>
        <v>0</v>
      </c>
      <c r="Q411" s="10">
        <f t="shared" si="56"/>
      </c>
      <c r="R411" s="10" t="str">
        <f t="shared" si="58"/>
        <v>no</v>
      </c>
    </row>
    <row r="412" spans="13:18" ht="12.75">
      <c r="M412" s="10">
        <f t="shared" si="53"/>
        <v>38.96000000000106</v>
      </c>
      <c r="N412">
        <f t="shared" si="57"/>
        <v>124.40145701366475</v>
      </c>
      <c r="O412">
        <f t="shared" si="54"/>
        <v>124.40145701366475</v>
      </c>
      <c r="P412" s="10">
        <f t="shared" si="55"/>
        <v>0</v>
      </c>
      <c r="Q412" s="10">
        <f t="shared" si="56"/>
      </c>
      <c r="R412" s="10" t="str">
        <f t="shared" si="58"/>
        <v>no</v>
      </c>
    </row>
    <row r="413" spans="13:18" ht="12.75">
      <c r="M413" s="10">
        <f t="shared" si="53"/>
        <v>38.98000000000106</v>
      </c>
      <c r="N413">
        <f t="shared" si="57"/>
        <v>124.5643277489113</v>
      </c>
      <c r="O413">
        <f t="shared" si="54"/>
        <v>124.56432774891125</v>
      </c>
      <c r="P413" s="10">
        <f t="shared" si="55"/>
        <v>0</v>
      </c>
      <c r="Q413" s="10">
        <f t="shared" si="56"/>
      </c>
      <c r="R413" s="10" t="str">
        <f t="shared" si="58"/>
        <v>no</v>
      </c>
    </row>
    <row r="414" spans="13:18" ht="12.75">
      <c r="M414" s="10">
        <f t="shared" si="53"/>
        <v>39.000000000001066</v>
      </c>
      <c r="N414">
        <f t="shared" si="57"/>
        <v>124.72719848415778</v>
      </c>
      <c r="O414">
        <f t="shared" si="54"/>
        <v>124.72719848415778</v>
      </c>
      <c r="P414" s="10">
        <f t="shared" si="55"/>
        <v>0</v>
      </c>
      <c r="Q414" s="10">
        <f t="shared" si="56"/>
      </c>
      <c r="R414" s="10" t="str">
        <f t="shared" si="58"/>
        <v>no</v>
      </c>
    </row>
    <row r="415" spans="13:18" ht="12.75">
      <c r="M415" s="10">
        <f aca="true" t="shared" si="59" ref="M415:M450">M414+deltaP_S</f>
        <v>39.02000000000107</v>
      </c>
      <c r="N415">
        <f t="shared" si="57"/>
        <v>124.89006921940427</v>
      </c>
      <c r="O415">
        <f aca="true" t="shared" si="60" ref="O415:O450">EXP(-(r_/100)*tR_)*(((sinal_pos/100)*(IF(years+(months/12)&lt;0,0,IF(AND(FC_pos*((q_*B_*M415*(EXP(-(delta/100)*2)))-Idp)&lt;Inv,years+(months/12)=0),0,BjStAmericanCall(FC_pos*q_*B_*M415*(EXP(-(delta/100)*2)),Inv+(FC_pos*Idp),years+(months/12),r_/100,delta/100,sigma/100)))))+((1-(sinal_pos/100))*IF(years+(months/12)&lt;0,0,IF(AND(FC_neg*((q_*B_*M415*(EXP(-(delta/100)*2)))-Idp)&lt;Inv,years+(months/12)=0),0,BjStAmericanCall(FC_neg*q_*B_*M415*(EXP(-(delta/100)*2)),Inv+(FC_neg*Idp),years+(months/12),r_/100,delta/100,sigma/100)))))</f>
        <v>124.89006921940427</v>
      </c>
      <c r="P415" s="10">
        <f aca="true" t="shared" si="61" ref="P415:P450">O415-N415</f>
        <v>0</v>
      </c>
      <c r="Q415" s="10">
        <f aca="true" t="shared" si="62" ref="Q415:Q450">IF(AND(Q414="no",P415&lt;=0),"yes",IF(AND(Q414="no",P415&gt;0),"no",""))</f>
      </c>
      <c r="R415" s="10" t="str">
        <f t="shared" si="58"/>
        <v>no</v>
      </c>
    </row>
    <row r="416" spans="13:18" ht="12.75">
      <c r="M416" s="10">
        <f t="shared" si="59"/>
        <v>39.04000000000107</v>
      </c>
      <c r="N416">
        <f t="shared" si="57"/>
        <v>125.05293995465072</v>
      </c>
      <c r="O416">
        <f t="shared" si="60"/>
        <v>125.05293995465077</v>
      </c>
      <c r="P416" s="10">
        <f t="shared" si="61"/>
        <v>0</v>
      </c>
      <c r="Q416" s="10">
        <f t="shared" si="62"/>
      </c>
      <c r="R416" s="10" t="str">
        <f t="shared" si="58"/>
        <v>no</v>
      </c>
    </row>
    <row r="417" spans="13:18" ht="12.75">
      <c r="M417" s="10">
        <f t="shared" si="59"/>
        <v>39.060000000001075</v>
      </c>
      <c r="N417">
        <f t="shared" si="57"/>
        <v>125.21581068989727</v>
      </c>
      <c r="O417">
        <f t="shared" si="60"/>
        <v>125.21581068989724</v>
      </c>
      <c r="P417" s="10">
        <f t="shared" si="61"/>
        <v>0</v>
      </c>
      <c r="Q417" s="10">
        <f t="shared" si="62"/>
      </c>
      <c r="R417" s="10" t="str">
        <f t="shared" si="58"/>
        <v>no</v>
      </c>
    </row>
    <row r="418" spans="13:18" ht="12.75">
      <c r="M418" s="10">
        <f t="shared" si="59"/>
        <v>39.08000000000108</v>
      </c>
      <c r="N418">
        <f t="shared" si="57"/>
        <v>125.37868142514378</v>
      </c>
      <c r="O418">
        <f t="shared" si="60"/>
        <v>125.37868142514375</v>
      </c>
      <c r="P418" s="10">
        <f t="shared" si="61"/>
        <v>0</v>
      </c>
      <c r="Q418" s="10">
        <f t="shared" si="62"/>
      </c>
      <c r="R418" s="10" t="str">
        <f t="shared" si="58"/>
        <v>no</v>
      </c>
    </row>
    <row r="419" spans="13:18" ht="12.75">
      <c r="M419" s="10">
        <f t="shared" si="59"/>
        <v>39.10000000000108</v>
      </c>
      <c r="N419">
        <f t="shared" si="57"/>
        <v>125.54155216039027</v>
      </c>
      <c r="O419">
        <f t="shared" si="60"/>
        <v>125.54155216039027</v>
      </c>
      <c r="P419" s="10">
        <f t="shared" si="61"/>
        <v>0</v>
      </c>
      <c r="Q419" s="10">
        <f t="shared" si="62"/>
      </c>
      <c r="R419" s="10" t="str">
        <f t="shared" si="58"/>
        <v>no</v>
      </c>
    </row>
    <row r="420" spans="13:18" ht="12.75">
      <c r="M420" s="10">
        <f t="shared" si="59"/>
        <v>39.120000000001085</v>
      </c>
      <c r="N420">
        <f t="shared" si="57"/>
        <v>125.70442289563675</v>
      </c>
      <c r="O420">
        <f t="shared" si="60"/>
        <v>125.70442289563675</v>
      </c>
      <c r="P420" s="10">
        <f t="shared" si="61"/>
        <v>0</v>
      </c>
      <c r="Q420" s="10">
        <f t="shared" si="62"/>
      </c>
      <c r="R420" s="10" t="str">
        <f t="shared" si="58"/>
        <v>no</v>
      </c>
    </row>
    <row r="421" spans="13:18" ht="12.75">
      <c r="M421" s="10">
        <f t="shared" si="59"/>
        <v>39.14000000000109</v>
      </c>
      <c r="N421">
        <f t="shared" si="57"/>
        <v>125.86729363088321</v>
      </c>
      <c r="O421">
        <f t="shared" si="60"/>
        <v>125.86729363088327</v>
      </c>
      <c r="P421" s="10">
        <f t="shared" si="61"/>
        <v>0</v>
      </c>
      <c r="Q421" s="10">
        <f t="shared" si="62"/>
      </c>
      <c r="R421" s="10" t="str">
        <f t="shared" si="58"/>
        <v>no</v>
      </c>
    </row>
    <row r="422" spans="13:18" ht="12.75">
      <c r="M422" s="10">
        <f t="shared" si="59"/>
        <v>39.16000000000109</v>
      </c>
      <c r="N422">
        <f t="shared" si="57"/>
        <v>126.03016436612975</v>
      </c>
      <c r="O422">
        <f t="shared" si="60"/>
        <v>126.03016436612974</v>
      </c>
      <c r="P422" s="10">
        <f t="shared" si="61"/>
        <v>0</v>
      </c>
      <c r="Q422" s="10">
        <f t="shared" si="62"/>
      </c>
      <c r="R422" s="10" t="str">
        <f t="shared" si="58"/>
        <v>no</v>
      </c>
    </row>
    <row r="423" spans="13:18" ht="12.75">
      <c r="M423" s="10">
        <f t="shared" si="59"/>
        <v>39.180000000001094</v>
      </c>
      <c r="N423">
        <f t="shared" si="57"/>
        <v>126.19303510137627</v>
      </c>
      <c r="O423">
        <f t="shared" si="60"/>
        <v>126.19303510137625</v>
      </c>
      <c r="P423" s="10">
        <f t="shared" si="61"/>
        <v>0</v>
      </c>
      <c r="Q423" s="10">
        <f t="shared" si="62"/>
      </c>
      <c r="R423" s="10" t="str">
        <f t="shared" si="58"/>
        <v>no</v>
      </c>
    </row>
    <row r="424" spans="13:18" ht="12.75">
      <c r="M424" s="10">
        <f t="shared" si="59"/>
        <v>39.2000000000011</v>
      </c>
      <c r="N424">
        <f t="shared" si="57"/>
        <v>126.35590583662275</v>
      </c>
      <c r="O424">
        <f t="shared" si="60"/>
        <v>126.35590583662274</v>
      </c>
      <c r="P424" s="10">
        <f t="shared" si="61"/>
        <v>0</v>
      </c>
      <c r="Q424" s="10">
        <f t="shared" si="62"/>
      </c>
      <c r="R424" s="10" t="str">
        <f t="shared" si="58"/>
        <v>no</v>
      </c>
    </row>
    <row r="425" spans="13:18" ht="12.75">
      <c r="M425" s="10">
        <f t="shared" si="59"/>
        <v>39.2200000000011</v>
      </c>
      <c r="N425">
        <f t="shared" si="57"/>
        <v>126.51877657186924</v>
      </c>
      <c r="O425">
        <f t="shared" si="60"/>
        <v>126.51877657186924</v>
      </c>
      <c r="P425" s="10">
        <f t="shared" si="61"/>
        <v>0</v>
      </c>
      <c r="Q425" s="10">
        <f t="shared" si="62"/>
      </c>
      <c r="R425" s="10" t="str">
        <f t="shared" si="58"/>
        <v>no</v>
      </c>
    </row>
    <row r="426" spans="13:18" ht="12.75">
      <c r="M426" s="10">
        <f t="shared" si="59"/>
        <v>39.2400000000011</v>
      </c>
      <c r="N426">
        <f t="shared" si="57"/>
        <v>126.68164730711575</v>
      </c>
      <c r="O426">
        <f t="shared" si="60"/>
        <v>126.68164730711574</v>
      </c>
      <c r="P426" s="10">
        <f t="shared" si="61"/>
        <v>0</v>
      </c>
      <c r="Q426" s="10">
        <f t="shared" si="62"/>
      </c>
      <c r="R426" s="10" t="str">
        <f t="shared" si="58"/>
        <v>no</v>
      </c>
    </row>
    <row r="427" spans="13:18" ht="12.75">
      <c r="M427" s="10">
        <f t="shared" si="59"/>
        <v>39.26000000000111</v>
      </c>
      <c r="N427">
        <f t="shared" si="57"/>
        <v>126.84451804236224</v>
      </c>
      <c r="O427">
        <f t="shared" si="60"/>
        <v>126.84451804236224</v>
      </c>
      <c r="P427" s="10">
        <f t="shared" si="61"/>
        <v>0</v>
      </c>
      <c r="Q427" s="10">
        <f t="shared" si="62"/>
      </c>
      <c r="R427" s="10" t="str">
        <f t="shared" si="58"/>
        <v>no</v>
      </c>
    </row>
    <row r="428" spans="13:18" ht="12.75">
      <c r="M428" s="10">
        <f t="shared" si="59"/>
        <v>39.28000000000111</v>
      </c>
      <c r="N428">
        <f t="shared" si="57"/>
        <v>127.00738877760875</v>
      </c>
      <c r="O428">
        <f t="shared" si="60"/>
        <v>127.00738877760872</v>
      </c>
      <c r="P428" s="10">
        <f t="shared" si="61"/>
        <v>0</v>
      </c>
      <c r="Q428" s="10">
        <f t="shared" si="62"/>
      </c>
      <c r="R428" s="10" t="str">
        <f t="shared" si="58"/>
        <v>no</v>
      </c>
    </row>
    <row r="429" spans="13:18" ht="12.75">
      <c r="M429" s="10">
        <f t="shared" si="59"/>
        <v>39.30000000000111</v>
      </c>
      <c r="N429">
        <f t="shared" si="57"/>
        <v>127.17025951285524</v>
      </c>
      <c r="O429">
        <f t="shared" si="60"/>
        <v>127.17025951285524</v>
      </c>
      <c r="P429" s="10">
        <f t="shared" si="61"/>
        <v>0</v>
      </c>
      <c r="Q429" s="10">
        <f t="shared" si="62"/>
      </c>
      <c r="R429" s="10" t="str">
        <f t="shared" si="58"/>
        <v>no</v>
      </c>
    </row>
    <row r="430" spans="13:18" ht="12.75">
      <c r="M430" s="10">
        <f t="shared" si="59"/>
        <v>39.320000000001116</v>
      </c>
      <c r="N430">
        <f t="shared" si="57"/>
        <v>127.33313024810172</v>
      </c>
      <c r="O430">
        <f t="shared" si="60"/>
        <v>127.33313024810171</v>
      </c>
      <c r="P430" s="10">
        <f t="shared" si="61"/>
        <v>0</v>
      </c>
      <c r="Q430" s="10">
        <f t="shared" si="62"/>
      </c>
      <c r="R430" s="10" t="str">
        <f t="shared" si="58"/>
        <v>no</v>
      </c>
    </row>
    <row r="431" spans="13:18" ht="12.75">
      <c r="M431" s="10">
        <f t="shared" si="59"/>
        <v>39.34000000000112</v>
      </c>
      <c r="N431">
        <f t="shared" si="57"/>
        <v>127.49600098334824</v>
      </c>
      <c r="O431">
        <f t="shared" si="60"/>
        <v>127.49600098334825</v>
      </c>
      <c r="P431" s="10">
        <f t="shared" si="61"/>
        <v>0</v>
      </c>
      <c r="Q431" s="10">
        <f t="shared" si="62"/>
      </c>
      <c r="R431" s="10" t="str">
        <f t="shared" si="58"/>
        <v>no</v>
      </c>
    </row>
    <row r="432" spans="13:18" ht="12.75">
      <c r="M432" s="10">
        <f t="shared" si="59"/>
        <v>39.36000000000112</v>
      </c>
      <c r="N432">
        <f t="shared" si="57"/>
        <v>127.65887171859472</v>
      </c>
      <c r="O432">
        <f t="shared" si="60"/>
        <v>127.65887171859472</v>
      </c>
      <c r="P432" s="10">
        <f t="shared" si="61"/>
        <v>0</v>
      </c>
      <c r="Q432" s="10">
        <f t="shared" si="62"/>
      </c>
      <c r="R432" s="10" t="str">
        <f t="shared" si="58"/>
        <v>no</v>
      </c>
    </row>
    <row r="433" spans="13:18" ht="12.75">
      <c r="M433" s="10">
        <f t="shared" si="59"/>
        <v>39.380000000001125</v>
      </c>
      <c r="N433">
        <f t="shared" si="57"/>
        <v>127.82174245384124</v>
      </c>
      <c r="O433">
        <f t="shared" si="60"/>
        <v>127.82174245384122</v>
      </c>
      <c r="P433" s="10">
        <f t="shared" si="61"/>
        <v>0</v>
      </c>
      <c r="Q433" s="10">
        <f t="shared" si="62"/>
      </c>
      <c r="R433" s="10" t="str">
        <f t="shared" si="58"/>
        <v>no</v>
      </c>
    </row>
    <row r="434" spans="13:18" ht="12.75">
      <c r="M434" s="10">
        <f t="shared" si="59"/>
        <v>39.40000000000113</v>
      </c>
      <c r="N434">
        <f t="shared" si="57"/>
        <v>127.98461318908772</v>
      </c>
      <c r="O434">
        <f t="shared" si="60"/>
        <v>127.98461318908772</v>
      </c>
      <c r="P434" s="10">
        <f t="shared" si="61"/>
        <v>0</v>
      </c>
      <c r="Q434" s="10">
        <f t="shared" si="62"/>
      </c>
      <c r="R434" s="10" t="str">
        <f t="shared" si="58"/>
        <v>no</v>
      </c>
    </row>
    <row r="435" spans="13:18" ht="12.75">
      <c r="M435" s="10">
        <f t="shared" si="59"/>
        <v>39.42000000000113</v>
      </c>
      <c r="N435">
        <f t="shared" si="57"/>
        <v>128.14748392433427</v>
      </c>
      <c r="O435">
        <f t="shared" si="60"/>
        <v>128.1474839243342</v>
      </c>
      <c r="P435" s="10">
        <f t="shared" si="61"/>
        <v>0</v>
      </c>
      <c r="Q435" s="10">
        <f t="shared" si="62"/>
      </c>
      <c r="R435" s="10" t="str">
        <f t="shared" si="58"/>
        <v>no</v>
      </c>
    </row>
    <row r="436" spans="13:18" ht="12.75">
      <c r="M436" s="10">
        <f t="shared" si="59"/>
        <v>39.440000000001135</v>
      </c>
      <c r="N436">
        <f t="shared" si="57"/>
        <v>128.31035465958072</v>
      </c>
      <c r="O436">
        <f t="shared" si="60"/>
        <v>128.3103546595807</v>
      </c>
      <c r="P436" s="10">
        <f t="shared" si="61"/>
        <v>0</v>
      </c>
      <c r="Q436" s="10">
        <f t="shared" si="62"/>
      </c>
      <c r="R436" s="10" t="str">
        <f t="shared" si="58"/>
        <v>no</v>
      </c>
    </row>
    <row r="437" spans="13:18" ht="12.75">
      <c r="M437" s="10">
        <f t="shared" si="59"/>
        <v>39.46000000000114</v>
      </c>
      <c r="N437">
        <f t="shared" si="57"/>
        <v>128.4732253948272</v>
      </c>
      <c r="O437">
        <f t="shared" si="60"/>
        <v>128.4732253948272</v>
      </c>
      <c r="P437" s="10">
        <f t="shared" si="61"/>
        <v>0</v>
      </c>
      <c r="Q437" s="10">
        <f t="shared" si="62"/>
      </c>
      <c r="R437" s="10" t="str">
        <f t="shared" si="58"/>
        <v>no</v>
      </c>
    </row>
    <row r="438" spans="13:18" ht="12.75">
      <c r="M438" s="10">
        <f t="shared" si="59"/>
        <v>39.48000000000114</v>
      </c>
      <c r="N438">
        <f t="shared" si="57"/>
        <v>128.63609613007372</v>
      </c>
      <c r="O438">
        <f t="shared" si="60"/>
        <v>128.63609613007372</v>
      </c>
      <c r="P438" s="10">
        <f t="shared" si="61"/>
        <v>0</v>
      </c>
      <c r="Q438" s="10">
        <f t="shared" si="62"/>
      </c>
      <c r="R438" s="10" t="str">
        <f t="shared" si="58"/>
        <v>no</v>
      </c>
    </row>
    <row r="439" spans="13:18" ht="12.75">
      <c r="M439" s="10">
        <f t="shared" si="59"/>
        <v>39.500000000001144</v>
      </c>
      <c r="N439">
        <f t="shared" si="57"/>
        <v>128.7989668653202</v>
      </c>
      <c r="O439">
        <f t="shared" si="60"/>
        <v>128.7989668653202</v>
      </c>
      <c r="P439" s="10">
        <f t="shared" si="61"/>
        <v>0</v>
      </c>
      <c r="Q439" s="10">
        <f t="shared" si="62"/>
      </c>
      <c r="R439" s="10" t="str">
        <f t="shared" si="58"/>
        <v>no</v>
      </c>
    </row>
    <row r="440" spans="13:18" ht="12.75">
      <c r="M440" s="10">
        <f t="shared" si="59"/>
        <v>39.52000000000115</v>
      </c>
      <c r="N440">
        <f t="shared" si="57"/>
        <v>128.96183760056675</v>
      </c>
      <c r="O440">
        <f t="shared" si="60"/>
        <v>128.9618376005667</v>
      </c>
      <c r="P440" s="10">
        <f t="shared" si="61"/>
        <v>0</v>
      </c>
      <c r="Q440" s="10">
        <f t="shared" si="62"/>
      </c>
      <c r="R440" s="10" t="str">
        <f t="shared" si="58"/>
        <v>no</v>
      </c>
    </row>
    <row r="441" spans="13:18" ht="12.75">
      <c r="M441" s="10">
        <f t="shared" si="59"/>
        <v>39.54000000000115</v>
      </c>
      <c r="N441">
        <f t="shared" si="57"/>
        <v>129.1247083358132</v>
      </c>
      <c r="O441">
        <f t="shared" si="60"/>
        <v>129.1247083358132</v>
      </c>
      <c r="P441" s="10">
        <f t="shared" si="61"/>
        <v>0</v>
      </c>
      <c r="Q441" s="10">
        <f t="shared" si="62"/>
      </c>
      <c r="R441" s="10" t="str">
        <f t="shared" si="58"/>
        <v>no</v>
      </c>
    </row>
    <row r="442" spans="13:18" ht="12.75">
      <c r="M442" s="10">
        <f t="shared" si="59"/>
        <v>39.56000000000115</v>
      </c>
      <c r="N442">
        <f t="shared" si="57"/>
        <v>129.2875790710597</v>
      </c>
      <c r="O442">
        <f t="shared" si="60"/>
        <v>129.28757907105972</v>
      </c>
      <c r="P442" s="10">
        <f t="shared" si="61"/>
        <v>0</v>
      </c>
      <c r="Q442" s="10">
        <f t="shared" si="62"/>
      </c>
      <c r="R442" s="10" t="str">
        <f t="shared" si="58"/>
        <v>no</v>
      </c>
    </row>
    <row r="443" spans="13:18" ht="12.75">
      <c r="M443" s="10">
        <f t="shared" si="59"/>
        <v>39.58000000000116</v>
      </c>
      <c r="N443">
        <f t="shared" si="57"/>
        <v>129.4504498063062</v>
      </c>
      <c r="O443">
        <f t="shared" si="60"/>
        <v>129.4504498063062</v>
      </c>
      <c r="P443" s="10">
        <f t="shared" si="61"/>
        <v>0</v>
      </c>
      <c r="Q443" s="10">
        <f t="shared" si="62"/>
      </c>
      <c r="R443" s="10" t="str">
        <f t="shared" si="58"/>
        <v>no</v>
      </c>
    </row>
    <row r="444" spans="13:18" ht="12.75">
      <c r="M444" s="10">
        <f t="shared" si="59"/>
        <v>39.60000000000116</v>
      </c>
      <c r="N444">
        <f t="shared" si="57"/>
        <v>129.61332054155275</v>
      </c>
      <c r="O444">
        <f t="shared" si="60"/>
        <v>129.6133205415527</v>
      </c>
      <c r="P444" s="10">
        <f t="shared" si="61"/>
        <v>0</v>
      </c>
      <c r="Q444" s="10">
        <f t="shared" si="62"/>
      </c>
      <c r="R444" s="10" t="str">
        <f t="shared" si="58"/>
        <v>no</v>
      </c>
    </row>
    <row r="445" spans="13:18" ht="12.75">
      <c r="M445" s="10">
        <f t="shared" si="59"/>
        <v>39.62000000000116</v>
      </c>
      <c r="N445">
        <f t="shared" si="57"/>
        <v>129.77619127679924</v>
      </c>
      <c r="O445">
        <f t="shared" si="60"/>
        <v>129.77619127679918</v>
      </c>
      <c r="P445" s="10">
        <f t="shared" si="61"/>
        <v>0</v>
      </c>
      <c r="Q445" s="10">
        <f t="shared" si="62"/>
      </c>
      <c r="R445" s="10" t="str">
        <f t="shared" si="58"/>
        <v>no</v>
      </c>
    </row>
    <row r="446" spans="13:18" ht="12.75">
      <c r="M446" s="10">
        <f t="shared" si="59"/>
        <v>39.640000000001166</v>
      </c>
      <c r="N446">
        <f t="shared" si="57"/>
        <v>129.9390620120457</v>
      </c>
      <c r="O446">
        <f t="shared" si="60"/>
        <v>129.9390620120457</v>
      </c>
      <c r="P446" s="10">
        <f t="shared" si="61"/>
        <v>0</v>
      </c>
      <c r="Q446" s="10">
        <f t="shared" si="62"/>
      </c>
      <c r="R446" s="10" t="str">
        <f t="shared" si="58"/>
        <v>no</v>
      </c>
    </row>
    <row r="447" spans="13:18" ht="12.75">
      <c r="M447" s="10">
        <f t="shared" si="59"/>
        <v>39.66000000000117</v>
      </c>
      <c r="N447">
        <f t="shared" si="57"/>
        <v>130.10193274729218</v>
      </c>
      <c r="O447">
        <f t="shared" si="60"/>
        <v>130.10193274729218</v>
      </c>
      <c r="P447" s="10">
        <f t="shared" si="61"/>
        <v>0</v>
      </c>
      <c r="Q447" s="10">
        <f t="shared" si="62"/>
      </c>
      <c r="R447" s="10" t="str">
        <f t="shared" si="58"/>
        <v>no</v>
      </c>
    </row>
    <row r="448" spans="13:18" ht="12.75">
      <c r="M448" s="10">
        <f t="shared" si="59"/>
        <v>39.68000000000117</v>
      </c>
      <c r="N448">
        <f t="shared" si="57"/>
        <v>130.2648034825387</v>
      </c>
      <c r="O448">
        <f t="shared" si="60"/>
        <v>130.2648034825387</v>
      </c>
      <c r="P448" s="10">
        <f t="shared" si="61"/>
        <v>0</v>
      </c>
      <c r="Q448" s="10">
        <f t="shared" si="62"/>
      </c>
      <c r="R448" s="10" t="str">
        <f t="shared" si="58"/>
        <v>no</v>
      </c>
    </row>
    <row r="449" spans="13:18" ht="12.75">
      <c r="M449" s="10">
        <f t="shared" si="59"/>
        <v>39.700000000001175</v>
      </c>
      <c r="N449">
        <f t="shared" si="57"/>
        <v>130.42767421778524</v>
      </c>
      <c r="O449">
        <f t="shared" si="60"/>
        <v>130.42767421778518</v>
      </c>
      <c r="P449" s="10">
        <f t="shared" si="61"/>
        <v>0</v>
      </c>
      <c r="Q449" s="10">
        <f t="shared" si="62"/>
      </c>
      <c r="R449" s="10" t="str">
        <f t="shared" si="58"/>
        <v>no</v>
      </c>
    </row>
    <row r="450" spans="13:18" ht="12.75">
      <c r="M450" s="10">
        <f t="shared" si="59"/>
        <v>39.72000000000118</v>
      </c>
      <c r="N450">
        <f t="shared" si="57"/>
        <v>130.59054495303172</v>
      </c>
      <c r="O450">
        <f t="shared" si="60"/>
        <v>130.5905449530317</v>
      </c>
      <c r="P450" s="10">
        <f t="shared" si="61"/>
        <v>0</v>
      </c>
      <c r="Q450" s="10">
        <f t="shared" si="62"/>
      </c>
      <c r="R450" s="10" t="str">
        <f t="shared" si="58"/>
        <v>no</v>
      </c>
    </row>
  </sheetData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"/>
  <dimension ref="B1:J23"/>
  <sheetViews>
    <sheetView workbookViewId="0" topLeftCell="A1">
      <selection activeCell="J11" sqref="J11"/>
    </sheetView>
  </sheetViews>
  <sheetFormatPr defaultColWidth="9.140625" defaultRowHeight="12.75"/>
  <sheetData>
    <row r="1" ht="15">
      <c r="B1" s="107" t="s">
        <v>73</v>
      </c>
    </row>
    <row r="21" ht="12.75">
      <c r="I21" s="13" t="s">
        <v>75</v>
      </c>
    </row>
    <row r="22" ht="12.75">
      <c r="I22" s="13" t="s">
        <v>74</v>
      </c>
    </row>
    <row r="23" spans="9:10" ht="12.75">
      <c r="I23" s="106">
        <f>Red_Var</f>
        <v>10</v>
      </c>
      <c r="J23" s="13" t="s">
        <v>72</v>
      </c>
    </row>
  </sheetData>
  <printOptions/>
  <pageMargins left="0.75" right="0.75" top="1" bottom="1" header="0.492125985" footer="0.49212598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D2:G27"/>
  <sheetViews>
    <sheetView showGridLines="0" workbookViewId="0" topLeftCell="A1">
      <selection activeCell="K16" sqref="K16"/>
    </sheetView>
  </sheetViews>
  <sheetFormatPr defaultColWidth="9.140625" defaultRowHeight="12.75"/>
  <sheetData>
    <row r="2" ht="12.75">
      <c r="D2" s="27" t="s">
        <v>17</v>
      </c>
    </row>
    <row r="4" ht="12.75">
      <c r="G4" s="72">
        <v>1</v>
      </c>
    </row>
    <row r="8" ht="15">
      <c r="D8" s="72" t="s">
        <v>19</v>
      </c>
    </row>
    <row r="12" ht="12.75">
      <c r="G12" s="72">
        <v>0</v>
      </c>
    </row>
    <row r="17" ht="12.75">
      <c r="D17" s="71" t="s">
        <v>18</v>
      </c>
    </row>
    <row r="19" ht="14.25">
      <c r="G19" s="73" t="s">
        <v>21</v>
      </c>
    </row>
    <row r="23" ht="15">
      <c r="D23" s="73" t="s">
        <v>20</v>
      </c>
    </row>
    <row r="27" ht="14.25">
      <c r="G27" s="73" t="s">
        <v>22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Antonio Guimarães Dias</dc:creator>
  <cp:keywords/>
  <dc:description/>
  <cp:lastModifiedBy>Marco Antonio G. Dias</cp:lastModifiedBy>
  <cp:lastPrinted>2004-06-27T03:41:47Z</cp:lastPrinted>
  <dcterms:created xsi:type="dcterms:W3CDTF">1998-01-03T21:26:32Z</dcterms:created>
  <dcterms:modified xsi:type="dcterms:W3CDTF">2007-01-29T00:03:28Z</dcterms:modified>
  <cp:category/>
  <cp:version/>
  <cp:contentType/>
  <cp:contentStatus/>
</cp:coreProperties>
</file>